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9720" windowHeight="7320" tabRatio="668" activeTab="2"/>
  </bookViews>
  <sheets>
    <sheet name="LISTE" sheetId="1" r:id="rId1"/>
    <sheet name="MATCHES" sheetId="2" r:id="rId2"/>
    <sheet name="FEUILLE POULE" sheetId="3" r:id="rId3"/>
    <sheet name="JOUEURS" sheetId="4" r:id="rId4"/>
    <sheet name="engagement" sheetId="5" r:id="rId5"/>
    <sheet name="toutes" sheetId="6" r:id="rId6"/>
  </sheets>
  <definedNames>
    <definedName name="bill">'LISTE'!$C$4</definedName>
    <definedName name="Classement">'FEUILLE POULE'!$T$30:$Z$34</definedName>
    <definedName name="clu1">'LISTE'!$L$13</definedName>
    <definedName name="clu2">'LISTE'!$L$14</definedName>
    <definedName name="clu3">'LISTE'!$L$15</definedName>
    <definedName name="clu4">'LISTE'!$L$16</definedName>
    <definedName name="CLUB1">'LISTE'!$D$13:$D$13</definedName>
    <definedName name="CLUB2">'LISTE'!$D$14:$D$14</definedName>
    <definedName name="CLUB3">'LISTE'!$D$15:$D$15</definedName>
    <definedName name="CLUB4">'LISTE'!$D$16:$D$16</definedName>
    <definedName name="dat">'FEUILLE POULE'!$C$27</definedName>
    <definedName name="design1">'LISTE'!$C$7</definedName>
    <definedName name="design2">'LISTE'!$C$3</definedName>
    <definedName name="dirjeu">'LISTE'!$C$10</definedName>
    <definedName name="DISTANCE">'LISTE'!$C$5:$C$5</definedName>
    <definedName name="engagement">'engagement'!$A$1:$W$63</definedName>
    <definedName name="imptoutesune">'toutes'!$B$1:$K$61</definedName>
    <definedName name="init">'LISTE'!$B$13:$F$16</definedName>
    <definedName name="initial">'LISTE'!$I$13:$N$16</definedName>
    <definedName name="joueur1">'JOUEURS'!$B$1:$L$22</definedName>
    <definedName name="joueur2">'JOUEURS'!$B$25:$L$46</definedName>
    <definedName name="joueur3">'JOUEURS'!$B$51:$L$72</definedName>
    <definedName name="joueur4">'JOUEURS'!$B$75:$L$96</definedName>
    <definedName name="LIC1">'LISTE'!$E$13:$E$13</definedName>
    <definedName name="LIC2">'LISTE'!$E$14:$E$14</definedName>
    <definedName name="LIC3">'LISTE'!$E$15:$E$15</definedName>
    <definedName name="LIC4">'LISTE'!$E$16:$E$16</definedName>
    <definedName name="lice1">'LISTE'!$M$13</definedName>
    <definedName name="lice2">'LISTE'!$M$14</definedName>
    <definedName name="lice3">'LISTE'!$M$15</definedName>
    <definedName name="lice4">'LISTE'!$M$16</definedName>
    <definedName name="lieue">'LISTE'!$C$2</definedName>
    <definedName name="MATCHES">'MATCHES'!$B$8:$L$40</definedName>
    <definedName name="modjeu">'LISTE'!$C$6</definedName>
    <definedName name="NOB1">'LISTE'!$I$13</definedName>
    <definedName name="NOB2">'LISTE'!$I$14</definedName>
    <definedName name="NOB3">'LISTE'!$I$15</definedName>
    <definedName name="NOB4">'LISTE'!$I$16</definedName>
    <definedName name="NOM1">'LISTE'!$B$13:$B$13</definedName>
    <definedName name="NOM2">'LISTE'!$B$14:$B$14</definedName>
    <definedName name="NOM3">'LISTE'!$B$15:$B$15</definedName>
    <definedName name="NOM4">'LISTE'!$B$16:$B$16</definedName>
    <definedName name="numpou">'LISTE'!$C$8</definedName>
    <definedName name="ordre1">'JOUEURS'!$D$13:$M$15</definedName>
    <definedName name="ordre2">'JOUEURS'!$D$37:$M$39</definedName>
    <definedName name="ordre3">'JOUEURS'!$D$63:$M$65</definedName>
    <definedName name="ordre4">'JOUEURS'!$D$87:$M$89</definedName>
    <definedName name="pos">'LISTE'!$I$13:$J$16</definedName>
    <definedName name="posdép">'LISTE'!$H$13:$N$16</definedName>
    <definedName name="posit">'MATCHES'!$O$18:$P$29</definedName>
    <definedName name="POULE">'FEUILLE POULE'!$A$1:$P$34</definedName>
    <definedName name="PRENOM1">'LISTE'!$C$13:$C$13</definedName>
    <definedName name="PRENOM2">'LISTE'!$C$14:$C$14</definedName>
    <definedName name="PRENOM3">'LISTE'!$C$15:$C$15</definedName>
    <definedName name="PRENOM4">'LISTE'!$C$16:$C$16</definedName>
    <definedName name="PRENOM5">'LISTE'!$C$17:$C$17</definedName>
    <definedName name="ram">'MATCHES'!$B$33:$K$33</definedName>
    <definedName name="resu1">'JOUEURS'!$A$13:$K$17</definedName>
    <definedName name="resu2">'JOUEURS'!$A$37:$K$41</definedName>
    <definedName name="resu3">'JOUEURS'!$A$63:$K$67</definedName>
    <definedName name="resu4">'JOUEURS'!$A$87:$K$91</definedName>
    <definedName name="RESUL">#REF!</definedName>
    <definedName name="term">'FEUILLE POULE'!$V$22:$W$26</definedName>
    <definedName name="term2">'FEUILLE POULE'!$S$31:$T$34</definedName>
    <definedName name="TOTO">'FEUILLE POULE'!$K$7:$K$7</definedName>
    <definedName name="tour1">'MATCHES'!$O$9:$AG$10</definedName>
    <definedName name="tour2">'MATCHES'!$W$18:$AA$21</definedName>
    <definedName name="tour3">'MATCHES'!$P$24:$S$25</definedName>
    <definedName name="tourjeu">'MATCHES'!$B$6:$L$41</definedName>
    <definedName name="tours">'MATCHES'!$O$9:$AH$14</definedName>
    <definedName name="_xlnm.Print_Area" localSheetId="4">'engagement'!$A$1:$W$62</definedName>
    <definedName name="_xlnm.Print_Area" localSheetId="2">'FEUILLE POULE'!$A$1:$P$34</definedName>
    <definedName name="_xlnm.Print_Area" localSheetId="3">'JOUEURS'!$B$75:$L$96</definedName>
    <definedName name="_xlnm.Print_Area" localSheetId="1">'MATCHES'!$B$6:$L$41</definedName>
    <definedName name="_xlnm.Print_Area" localSheetId="5">'toutes'!$B$1:$K$61</definedName>
  </definedNames>
  <calcPr fullCalcOnLoad="1"/>
</workbook>
</file>

<file path=xl/sharedStrings.xml><?xml version="1.0" encoding="utf-8"?>
<sst xmlns="http://schemas.openxmlformats.org/spreadsheetml/2006/main" count="394" uniqueCount="157">
  <si>
    <t>EPREUVE:</t>
  </si>
  <si>
    <t>POULE:</t>
  </si>
  <si>
    <t>Directeur de jeu:</t>
  </si>
  <si>
    <t>Numéro</t>
  </si>
  <si>
    <t>NOM</t>
  </si>
  <si>
    <t>Prénom</t>
  </si>
  <si>
    <t>Club</t>
  </si>
  <si>
    <t>N° licence</t>
  </si>
  <si>
    <t>moyenne</t>
  </si>
  <si>
    <t>points</t>
  </si>
  <si>
    <t>série</t>
  </si>
  <si>
    <t>Point-class</t>
  </si>
  <si>
    <t>REPRISES</t>
  </si>
  <si>
    <t>reprises</t>
  </si>
  <si>
    <t>moy</t>
  </si>
  <si>
    <t>moy part</t>
  </si>
  <si>
    <t>Nom</t>
  </si>
  <si>
    <t>Licence</t>
  </si>
  <si>
    <t>Mode de jeu:</t>
  </si>
  <si>
    <t>Catégorie:</t>
  </si>
  <si>
    <t>Billards:</t>
  </si>
  <si>
    <t>Distance:</t>
  </si>
  <si>
    <t>Date:</t>
  </si>
  <si>
    <t>N°</t>
  </si>
  <si>
    <t>Total</t>
  </si>
  <si>
    <t xml:space="preserve">     moyenne</t>
  </si>
  <si>
    <t xml:space="preserve">    moyenne</t>
  </si>
  <si>
    <t>meilleure</t>
  </si>
  <si>
    <t>POINTS</t>
  </si>
  <si>
    <t>PLACE</t>
  </si>
  <si>
    <t xml:space="preserve">     générale</t>
  </si>
  <si>
    <t xml:space="preserve">   particulière</t>
  </si>
  <si>
    <t>CLASS</t>
  </si>
  <si>
    <t>1er</t>
  </si>
  <si>
    <t>2ème</t>
  </si>
  <si>
    <t>3ème</t>
  </si>
  <si>
    <t>4ème</t>
  </si>
  <si>
    <t>ENTRER LES NOMS DES JOUEURS et LES CARACTERISTIQUES DU CHAMPIONNAT DANS LES CASES BLEUES</t>
  </si>
  <si>
    <t>nom</t>
  </si>
  <si>
    <t>match</t>
  </si>
  <si>
    <t>rep</t>
  </si>
  <si>
    <t>p.class</t>
  </si>
  <si>
    <t>adversaire</t>
  </si>
  <si>
    <t>pos</t>
  </si>
  <si>
    <t>V2</t>
  </si>
  <si>
    <t>P1</t>
  </si>
  <si>
    <t>P2</t>
  </si>
  <si>
    <t>V1</t>
  </si>
  <si>
    <t>Résultats du 1er TOUR</t>
  </si>
  <si>
    <t>M1</t>
  </si>
  <si>
    <t>M2</t>
  </si>
  <si>
    <t>position</t>
  </si>
  <si>
    <t>dép</t>
  </si>
  <si>
    <t>M N° 3ou4</t>
  </si>
  <si>
    <t>Résultats 2ème tour</t>
  </si>
  <si>
    <t>match suivant</t>
  </si>
  <si>
    <t>FINI</t>
  </si>
  <si>
    <t>SUR</t>
  </si>
  <si>
    <t>EN</t>
  </si>
  <si>
    <t>FEUILLE INDIVIDUELLE DE RESULTATS</t>
  </si>
  <si>
    <t>JOUEUR N°:</t>
  </si>
  <si>
    <t>M.N°</t>
  </si>
  <si>
    <t>Adversaires</t>
  </si>
  <si>
    <t>Pos.</t>
  </si>
  <si>
    <t>totaux</t>
  </si>
  <si>
    <t>CLASSEMENT FINAL:</t>
  </si>
  <si>
    <t>p.class.</t>
  </si>
  <si>
    <t>Licence N°</t>
  </si>
  <si>
    <t>tot</t>
  </si>
  <si>
    <t>moy.gén.</t>
  </si>
  <si>
    <t>moy.part.</t>
  </si>
  <si>
    <t>pt.class.</t>
  </si>
  <si>
    <t>IMPRESSION</t>
  </si>
  <si>
    <t>DES</t>
  </si>
  <si>
    <t>FICHES</t>
  </si>
  <si>
    <t>INDIVIDUELLES</t>
  </si>
  <si>
    <t>GONG</t>
  </si>
  <si>
    <t>S'il y a 2 joueurs d'un même club</t>
  </si>
  <si>
    <t>il faut les changer de N° (de ligne)</t>
  </si>
  <si>
    <t>et les passer 1&amp;4 ou 2&amp;3.</t>
  </si>
  <si>
    <t>S'il y en a 3, ne rien changer.</t>
  </si>
  <si>
    <t>FEUILLES  INDIVIDUELLES  DE  RESULTATS</t>
  </si>
  <si>
    <t>TOURS DE JEU</t>
  </si>
  <si>
    <t>FEDERATION  FRANCAISE  DE  BILLARD</t>
  </si>
  <si>
    <t>N° Licence :</t>
  </si>
  <si>
    <t>Moyenne Générale :</t>
  </si>
  <si>
    <t>Catégorie</t>
  </si>
  <si>
    <t>Date</t>
  </si>
  <si>
    <t>NOMBRE DE DECIMALES :</t>
  </si>
  <si>
    <t>1er TOUR:                                 match 1/4                         billard n°A</t>
  </si>
  <si>
    <t>1er TOUR:                                match 2/3                         billard n°B</t>
  </si>
  <si>
    <t>2ème TOUR:                          matchV1/V2                     billard n°A</t>
  </si>
  <si>
    <t>2ème TOUR:                           match P1/P2                     billard n°B</t>
  </si>
  <si>
    <t>3ème TOUR:                           match restant                     billard n°A</t>
  </si>
  <si>
    <t>3ème TOUR:                           match restant                     billard n°B</t>
  </si>
  <si>
    <t>CLUB.……………</t>
  </si>
  <si>
    <t>CATEGORIE……</t>
  </si>
  <si>
    <t>BILLARD………..</t>
  </si>
  <si>
    <t>DISTANCE………</t>
  </si>
  <si>
    <t>MODE DE JEU…</t>
  </si>
  <si>
    <t>EPREUVE………</t>
  </si>
  <si>
    <t>POULE…………..</t>
  </si>
  <si>
    <t>DATE……………</t>
  </si>
  <si>
    <t xml:space="preserve">-  LIGUE  MIDI PYRENEES  - </t>
  </si>
  <si>
    <t>FEUILLE  D'ENGAGEMENT  A  LA  FINALE  DE</t>
  </si>
  <si>
    <t>District</t>
  </si>
  <si>
    <t>Ligue</t>
  </si>
  <si>
    <t>Secteur</t>
  </si>
  <si>
    <t>France</t>
  </si>
  <si>
    <t>Qui aura lieu:</t>
  </si>
  <si>
    <t>Club Organisateur</t>
  </si>
  <si>
    <t>Mode de jeu</t>
  </si>
  <si>
    <t>Distance</t>
  </si>
  <si>
    <t xml:space="preserve">VAINQUEUR de la FINALE de </t>
  </si>
  <si>
    <t>S/District</t>
  </si>
  <si>
    <t>NOM  -  Prénom</t>
  </si>
  <si>
    <t>Adresse</t>
  </si>
  <si>
    <t>Tél:</t>
  </si>
  <si>
    <t>Code Postal  -  Ville</t>
  </si>
  <si>
    <t>Club :</t>
  </si>
  <si>
    <t>REMPLACANT EVENTUEL</t>
  </si>
  <si>
    <t>Signatures</t>
  </si>
  <si>
    <t>Vainqueur</t>
  </si>
  <si>
    <t>Remplaçant</t>
  </si>
  <si>
    <t>a envoyer à :</t>
  </si>
  <si>
    <t>Fait à :</t>
  </si>
  <si>
    <t>Le:</t>
  </si>
  <si>
    <t>Nom et signature du directeur de jeu</t>
  </si>
  <si>
    <t>District ou</t>
  </si>
  <si>
    <t>1/2 Ligue</t>
  </si>
  <si>
    <t>Utiliser les listes déroulantes</t>
  </si>
  <si>
    <t>Directeur de jeu..</t>
  </si>
  <si>
    <t>distance</t>
  </si>
  <si>
    <t>BILLARD CLUB SAINT GAUDENS</t>
  </si>
  <si>
    <t>Rue de la Vieille Côte - Tél: 05.61.94.97.67 - e mail: Billardclub31@aol.com</t>
  </si>
  <si>
    <t>Noms</t>
  </si>
  <si>
    <t>B.C.S.G</t>
  </si>
  <si>
    <t>2m80</t>
  </si>
  <si>
    <t>St-Gaudens</t>
  </si>
  <si>
    <t>BRUNET</t>
  </si>
  <si>
    <t>Christian</t>
  </si>
  <si>
    <t xml:space="preserve"> </t>
  </si>
  <si>
    <t>DISTRICT</t>
  </si>
  <si>
    <t>UNIQUE</t>
  </si>
  <si>
    <t>BORTOLOTTO</t>
  </si>
  <si>
    <t>Roland</t>
  </si>
  <si>
    <t>105243-V</t>
  </si>
  <si>
    <t>109368-M</t>
  </si>
  <si>
    <t>GRISAT</t>
  </si>
  <si>
    <t>Daniel</t>
  </si>
  <si>
    <t>109360-E</t>
  </si>
  <si>
    <t>DHUBERT</t>
  </si>
  <si>
    <t>Jean Pierre</t>
  </si>
  <si>
    <t>106976-M</t>
  </si>
  <si>
    <t>REGIONALE 1</t>
  </si>
  <si>
    <t>3 BANDES</t>
  </si>
  <si>
    <t>Robert REMY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</si>
</sst>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-mmm\-yy"/>
    <numFmt numFmtId="173" formatCode="0.000"/>
    <numFmt numFmtId="174" formatCode="\(General\);\(\-General\)"/>
    <numFmt numFmtId="175" formatCode="\(0.000\);\(\-0.000\)"/>
    <numFmt numFmtId="176" formatCode="0.0"/>
    <numFmt numFmtId="177" formatCode="0.000000"/>
    <numFmt numFmtId="178" formatCode="0.0000000"/>
    <numFmt numFmtId="179" formatCode="0.00000"/>
    <numFmt numFmtId="180" formatCode="0.0000"/>
    <numFmt numFmtId="181" formatCode="d\ mmmm\ yyyy"/>
  </numFmts>
  <fonts count="93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2"/>
      <name val="Arial"/>
      <family val="0"/>
    </font>
    <font>
      <b/>
      <sz val="12"/>
      <color indexed="8"/>
      <name val="Arial"/>
      <family val="0"/>
    </font>
    <font>
      <sz val="18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8"/>
      <name val="Arial"/>
      <family val="0"/>
    </font>
    <font>
      <b/>
      <sz val="24"/>
      <name val="Arial"/>
      <family val="0"/>
    </font>
    <font>
      <u val="single"/>
      <sz val="14"/>
      <name val="Arial"/>
      <family val="0"/>
    </font>
    <font>
      <u val="single"/>
      <sz val="12"/>
      <name val="Arial"/>
      <family val="0"/>
    </font>
    <font>
      <b/>
      <sz val="14"/>
      <name val="Arial"/>
      <family val="0"/>
    </font>
    <font>
      <sz val="12"/>
      <name val="Gill Sans"/>
      <family val="0"/>
    </font>
    <font>
      <b/>
      <sz val="14"/>
      <color indexed="10"/>
      <name val="Arial"/>
      <family val="0"/>
    </font>
    <font>
      <b/>
      <i/>
      <u val="single"/>
      <sz val="12"/>
      <name val="Arial"/>
      <family val="2"/>
    </font>
    <font>
      <b/>
      <sz val="7"/>
      <color indexed="10"/>
      <name val="Arial"/>
      <family val="2"/>
    </font>
    <font>
      <b/>
      <sz val="7"/>
      <name val="Arial"/>
      <family val="2"/>
    </font>
    <font>
      <b/>
      <sz val="7"/>
      <color indexed="12"/>
      <name val="Arial"/>
      <family val="2"/>
    </font>
    <font>
      <sz val="24"/>
      <name val="Arial"/>
      <family val="2"/>
    </font>
    <font>
      <b/>
      <sz val="10"/>
      <color indexed="60"/>
      <name val="Arial"/>
      <family val="2"/>
    </font>
    <font>
      <b/>
      <sz val="7"/>
      <color indexed="60"/>
      <name val="Arial"/>
      <family val="2"/>
    </font>
    <font>
      <b/>
      <sz val="12"/>
      <color indexed="10"/>
      <name val="Arial"/>
      <family val="2"/>
    </font>
    <font>
      <b/>
      <sz val="12"/>
      <color indexed="17"/>
      <name val="Arial"/>
      <family val="2"/>
    </font>
    <font>
      <b/>
      <sz val="20"/>
      <name val="Arial"/>
      <family val="2"/>
    </font>
    <font>
      <b/>
      <i/>
      <sz val="14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b/>
      <sz val="14"/>
      <color indexed="9"/>
      <name val="Arial"/>
      <family val="2"/>
    </font>
    <font>
      <b/>
      <sz val="8"/>
      <name val="Arial"/>
      <family val="2"/>
    </font>
    <font>
      <b/>
      <i/>
      <sz val="12"/>
      <name val="Arial"/>
      <family val="2"/>
    </font>
    <font>
      <b/>
      <sz val="10"/>
      <color indexed="49"/>
      <name val="Arial"/>
      <family val="2"/>
    </font>
    <font>
      <sz val="12"/>
      <color indexed="49"/>
      <name val="Arial"/>
      <family val="2"/>
    </font>
    <font>
      <b/>
      <sz val="13"/>
      <name val="Arial"/>
      <family val="2"/>
    </font>
    <font>
      <b/>
      <sz val="13"/>
      <color indexed="12"/>
      <name val="Arial"/>
      <family val="2"/>
    </font>
    <font>
      <sz val="12"/>
      <color indexed="22"/>
      <name val="Arial"/>
      <family val="2"/>
    </font>
    <font>
      <sz val="12"/>
      <color indexed="9"/>
      <name val="Arial"/>
      <family val="2"/>
    </font>
    <font>
      <b/>
      <sz val="18"/>
      <color indexed="10"/>
      <name val="Arial"/>
      <family val="2"/>
    </font>
    <font>
      <b/>
      <sz val="18"/>
      <color indexed="8"/>
      <name val="Arial"/>
      <family val="2"/>
    </font>
    <font>
      <b/>
      <i/>
      <sz val="22"/>
      <name val="Arial"/>
      <family val="2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sz val="11"/>
      <name val="Arial"/>
      <family val="2"/>
    </font>
    <font>
      <b/>
      <sz val="34"/>
      <name val="Arial"/>
      <family val="2"/>
    </font>
    <font>
      <b/>
      <sz val="34"/>
      <color indexed="12"/>
      <name val="Comic Sans MS"/>
      <family val="4"/>
    </font>
    <font>
      <b/>
      <sz val="12"/>
      <name val="Comic Sans MS"/>
      <family val="4"/>
    </font>
    <font>
      <b/>
      <sz val="17"/>
      <name val="Arial"/>
      <family val="0"/>
    </font>
    <font>
      <sz val="14"/>
      <name val="Comic Sans MS"/>
      <family val="4"/>
    </font>
    <font>
      <b/>
      <sz val="14"/>
      <name val="Comic Sans MS"/>
      <family val="4"/>
    </font>
    <font>
      <sz val="12"/>
      <name val="Comic Sans MS"/>
      <family val="4"/>
    </font>
    <font>
      <b/>
      <sz val="24"/>
      <color indexed="9"/>
      <name val="Comic Sans MS"/>
      <family val="4"/>
    </font>
    <font>
      <b/>
      <sz val="14"/>
      <color indexed="17"/>
      <name val="Arial"/>
      <family val="2"/>
    </font>
    <font>
      <sz val="14"/>
      <color indexed="12"/>
      <name val="Comic Sans MS"/>
      <family val="4"/>
    </font>
    <font>
      <b/>
      <sz val="12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mediumGray">
        <fgColor indexed="9"/>
        <bgColor indexed="22"/>
      </patternFill>
    </fill>
    <fill>
      <patternFill patternType="gray125">
        <fgColor indexed="9"/>
        <bgColor indexed="44"/>
      </patternFill>
    </fill>
    <fill>
      <patternFill patternType="solid">
        <fgColor indexed="52"/>
        <bgColor indexed="64"/>
      </patternFill>
    </fill>
    <fill>
      <patternFill patternType="darkVertical">
        <bgColor indexed="10"/>
      </patternFill>
    </fill>
  </fills>
  <borders count="10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uble">
        <color indexed="10"/>
      </right>
      <top style="medium"/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dotted">
        <color indexed="8"/>
      </right>
      <top style="dotted">
        <color indexed="8"/>
      </top>
      <bottom style="medium">
        <color indexed="8"/>
      </bottom>
    </border>
    <border>
      <left style="dotted">
        <color indexed="8"/>
      </left>
      <right style="dotted">
        <color indexed="8"/>
      </right>
      <top style="dotted">
        <color indexed="8"/>
      </top>
      <bottom style="medium">
        <color indexed="8"/>
      </bottom>
    </border>
    <border>
      <left style="dotted">
        <color indexed="8"/>
      </left>
      <right style="medium">
        <color indexed="8"/>
      </right>
      <top style="dotted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 style="dashed">
        <color indexed="8"/>
      </left>
      <right style="dashed">
        <color indexed="8"/>
      </right>
      <top style="medium"/>
      <bottom style="dashed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26" borderId="1" applyNumberFormat="0" applyAlignment="0" applyProtection="0"/>
    <xf numFmtId="0" fontId="80" fillId="0" borderId="2" applyNumberFormat="0" applyFill="0" applyAlignment="0" applyProtection="0"/>
    <xf numFmtId="0" fontId="0" fillId="27" borderId="3" applyNumberFormat="0" applyFont="0" applyAlignment="0" applyProtection="0"/>
    <xf numFmtId="0" fontId="81" fillId="28" borderId="1" applyNumberFormat="0" applyAlignment="0" applyProtection="0"/>
    <xf numFmtId="0" fontId="82" fillId="29" borderId="0" applyNumberFormat="0" applyBorder="0" applyAlignment="0" applyProtection="0"/>
    <xf numFmtId="0" fontId="83" fillId="30" borderId="0" applyNumberFormat="0" applyBorder="0" applyAlignment="0" applyProtection="0"/>
    <xf numFmtId="0" fontId="84" fillId="31" borderId="0" applyNumberFormat="0" applyBorder="0" applyAlignment="0" applyProtection="0"/>
    <xf numFmtId="0" fontId="85" fillId="26" borderId="4" applyNumberFormat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5" applyNumberFormat="0" applyFill="0" applyAlignment="0" applyProtection="0"/>
    <xf numFmtId="0" fontId="89" fillId="0" borderId="6" applyNumberFormat="0" applyFill="0" applyAlignment="0" applyProtection="0"/>
    <xf numFmtId="0" fontId="90" fillId="0" borderId="7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8" applyNumberFormat="0" applyFill="0" applyAlignment="0" applyProtection="0"/>
    <xf numFmtId="0" fontId="92" fillId="32" borderId="9" applyNumberFormat="0" applyAlignment="0" applyProtection="0"/>
  </cellStyleXfs>
  <cellXfs count="422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10" xfId="0" applyNumberFormat="1" applyFont="1" applyBorder="1" applyAlignment="1">
      <alignment/>
    </xf>
    <xf numFmtId="173" fontId="0" fillId="0" borderId="10" xfId="0" applyNumberFormat="1" applyFont="1" applyBorder="1" applyAlignment="1">
      <alignment/>
    </xf>
    <xf numFmtId="173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vertical="center"/>
    </xf>
    <xf numFmtId="0" fontId="15" fillId="0" borderId="0" xfId="0" applyNumberFormat="1" applyFont="1" applyAlignment="1">
      <alignment/>
    </xf>
    <xf numFmtId="0" fontId="0" fillId="0" borderId="0" xfId="0" applyNumberFormat="1" applyFont="1" applyBorder="1" applyAlignment="1">
      <alignment/>
    </xf>
    <xf numFmtId="173" fontId="0" fillId="0" borderId="0" xfId="0" applyNumberFormat="1" applyFont="1" applyBorder="1" applyAlignment="1">
      <alignment/>
    </xf>
    <xf numFmtId="0" fontId="4" fillId="0" borderId="11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horizontal="center"/>
    </xf>
    <xf numFmtId="0" fontId="0" fillId="0" borderId="13" xfId="0" applyNumberFormat="1" applyFont="1" applyBorder="1" applyAlignment="1">
      <alignment/>
    </xf>
    <xf numFmtId="0" fontId="8" fillId="0" borderId="14" xfId="0" applyNumberFormat="1" applyFont="1" applyBorder="1" applyAlignment="1">
      <alignment horizontal="center"/>
    </xf>
    <xf numFmtId="0" fontId="9" fillId="0" borderId="15" xfId="0" applyNumberFormat="1" applyFont="1" applyBorder="1" applyAlignment="1" applyProtection="1">
      <alignment horizontal="center" vertical="center"/>
      <protection locked="0"/>
    </xf>
    <xf numFmtId="0" fontId="8" fillId="0" borderId="0" xfId="0" applyNumberFormat="1" applyFont="1" applyBorder="1" applyAlignment="1">
      <alignment horizontal="center"/>
    </xf>
    <xf numFmtId="173" fontId="4" fillId="0" borderId="0" xfId="0" applyNumberFormat="1" applyFont="1" applyBorder="1" applyAlignment="1">
      <alignment horizontal="center"/>
    </xf>
    <xf numFmtId="0" fontId="0" fillId="0" borderId="14" xfId="0" applyNumberFormat="1" applyFont="1" applyBorder="1" applyAlignment="1">
      <alignment/>
    </xf>
    <xf numFmtId="0" fontId="0" fillId="0" borderId="0" xfId="0" applyNumberFormat="1" applyAlignment="1">
      <alignment/>
    </xf>
    <xf numFmtId="0" fontId="5" fillId="0" borderId="16" xfId="0" applyNumberFormat="1" applyFont="1" applyBorder="1" applyAlignment="1">
      <alignment/>
    </xf>
    <xf numFmtId="0" fontId="6" fillId="33" borderId="17" xfId="0" applyNumberFormat="1" applyFont="1" applyFill="1" applyBorder="1" applyAlignment="1">
      <alignment/>
    </xf>
    <xf numFmtId="0" fontId="5" fillId="0" borderId="17" xfId="0" applyNumberFormat="1" applyFont="1" applyBorder="1" applyAlignment="1">
      <alignment/>
    </xf>
    <xf numFmtId="0" fontId="0" fillId="0" borderId="18" xfId="0" applyNumberFormat="1" applyFont="1" applyBorder="1" applyAlignment="1">
      <alignment horizontal="center" vertical="center"/>
    </xf>
    <xf numFmtId="0" fontId="0" fillId="0" borderId="19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173" fontId="0" fillId="0" borderId="0" xfId="0" applyNumberFormat="1" applyAlignment="1">
      <alignment horizontal="center"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5" borderId="20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0" xfId="0" applyFill="1" applyAlignment="1">
      <alignment horizontal="center"/>
    </xf>
    <xf numFmtId="2" fontId="0" fillId="35" borderId="0" xfId="0" applyNumberFormat="1" applyFill="1" applyAlignment="1">
      <alignment/>
    </xf>
    <xf numFmtId="1" fontId="0" fillId="35" borderId="0" xfId="0" applyNumberFormat="1" applyFill="1" applyAlignment="1">
      <alignment horizontal="center"/>
    </xf>
    <xf numFmtId="173" fontId="0" fillId="35" borderId="0" xfId="0" applyNumberFormat="1" applyFill="1" applyAlignment="1">
      <alignment horizontal="center"/>
    </xf>
    <xf numFmtId="0" fontId="0" fillId="35" borderId="20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36" borderId="0" xfId="0" applyFill="1" applyAlignment="1">
      <alignment/>
    </xf>
    <xf numFmtId="0" fontId="0" fillId="36" borderId="0" xfId="0" applyFill="1" applyAlignment="1">
      <alignment horizontal="center"/>
    </xf>
    <xf numFmtId="0" fontId="0" fillId="36" borderId="0" xfId="0" applyFill="1" applyAlignment="1">
      <alignment horizontal="left"/>
    </xf>
    <xf numFmtId="173" fontId="0" fillId="36" borderId="0" xfId="0" applyNumberFormat="1" applyFill="1" applyAlignment="1">
      <alignment horizontal="center"/>
    </xf>
    <xf numFmtId="0" fontId="0" fillId="37" borderId="0" xfId="0" applyFill="1" applyAlignment="1">
      <alignment/>
    </xf>
    <xf numFmtId="0" fontId="0" fillId="37" borderId="0" xfId="0" applyFill="1" applyAlignment="1">
      <alignment horizontal="center"/>
    </xf>
    <xf numFmtId="0" fontId="14" fillId="0" borderId="0" xfId="0" applyNumberFormat="1" applyFont="1" applyAlignment="1">
      <alignment horizontal="center"/>
    </xf>
    <xf numFmtId="1" fontId="0" fillId="38" borderId="0" xfId="0" applyNumberForma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27" xfId="0" applyBorder="1" applyAlignment="1">
      <alignment/>
    </xf>
    <xf numFmtId="0" fontId="0" fillId="0" borderId="0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5" fillId="0" borderId="30" xfId="0" applyFont="1" applyBorder="1" applyAlignment="1">
      <alignment/>
    </xf>
    <xf numFmtId="0" fontId="5" fillId="0" borderId="30" xfId="0" applyFont="1" applyBorder="1" applyAlignment="1">
      <alignment horizontal="right"/>
    </xf>
    <xf numFmtId="0" fontId="5" fillId="0" borderId="30" xfId="0" applyFont="1" applyBorder="1" applyAlignment="1">
      <alignment horizontal="center"/>
    </xf>
    <xf numFmtId="0" fontId="0" fillId="0" borderId="31" xfId="0" applyBorder="1" applyAlignment="1">
      <alignment/>
    </xf>
    <xf numFmtId="0" fontId="17" fillId="0" borderId="0" xfId="0" applyFont="1" applyAlignment="1">
      <alignment/>
    </xf>
    <xf numFmtId="0" fontId="0" fillId="0" borderId="0" xfId="0" applyNumberFormat="1" applyFont="1" applyAlignment="1">
      <alignment horizontal="left"/>
    </xf>
    <xf numFmtId="0" fontId="0" fillId="39" borderId="0" xfId="0" applyNumberFormat="1" applyFont="1" applyFill="1" applyAlignment="1">
      <alignment horizontal="left"/>
    </xf>
    <xf numFmtId="0" fontId="0" fillId="35" borderId="0" xfId="0" applyNumberFormat="1" applyFont="1" applyFill="1" applyAlignment="1">
      <alignment horizontal="left"/>
    </xf>
    <xf numFmtId="0" fontId="0" fillId="40" borderId="0" xfId="0" applyNumberFormat="1" applyFont="1" applyFill="1" applyAlignment="1">
      <alignment horizontal="left"/>
    </xf>
    <xf numFmtId="0" fontId="0" fillId="41" borderId="0" xfId="0" applyNumberFormat="1" applyFont="1" applyFill="1" applyAlignment="1">
      <alignment horizontal="left"/>
    </xf>
    <xf numFmtId="0" fontId="0" fillId="37" borderId="0" xfId="0" applyNumberFormat="1" applyFill="1" applyAlignment="1">
      <alignment/>
    </xf>
    <xf numFmtId="0" fontId="0" fillId="37" borderId="0" xfId="0" applyNumberFormat="1" applyFill="1" applyAlignment="1">
      <alignment horizontal="center"/>
    </xf>
    <xf numFmtId="0" fontId="0" fillId="37" borderId="0" xfId="0" applyNumberFormat="1" applyFont="1" applyFill="1" applyAlignment="1">
      <alignment/>
    </xf>
    <xf numFmtId="0" fontId="0" fillId="37" borderId="0" xfId="0" applyNumberFormat="1" applyFont="1" applyFill="1" applyAlignment="1">
      <alignment horizontal="center"/>
    </xf>
    <xf numFmtId="0" fontId="0" fillId="37" borderId="0" xfId="0" applyNumberFormat="1" applyFill="1" applyAlignment="1">
      <alignment horizontal="right"/>
    </xf>
    <xf numFmtId="0" fontId="0" fillId="41" borderId="0" xfId="0" applyFill="1" applyAlignment="1">
      <alignment/>
    </xf>
    <xf numFmtId="0" fontId="0" fillId="41" borderId="0" xfId="0" applyNumberFormat="1" applyFill="1" applyAlignment="1">
      <alignment horizontal="left"/>
    </xf>
    <xf numFmtId="2" fontId="0" fillId="37" borderId="0" xfId="0" applyNumberFormat="1" applyFill="1" applyAlignment="1">
      <alignment horizontal="center"/>
    </xf>
    <xf numFmtId="2" fontId="0" fillId="37" borderId="0" xfId="0" applyNumberFormat="1" applyFont="1" applyFill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6" xfId="0" applyBorder="1" applyAlignment="1">
      <alignment horizontal="center"/>
    </xf>
    <xf numFmtId="1" fontId="0" fillId="0" borderId="36" xfId="0" applyNumberForma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42" borderId="38" xfId="0" applyNumberFormat="1" applyFont="1" applyFill="1" applyBorder="1" applyAlignment="1">
      <alignment/>
    </xf>
    <xf numFmtId="2" fontId="8" fillId="42" borderId="39" xfId="0" applyNumberFormat="1" applyFont="1" applyFill="1" applyBorder="1" applyAlignment="1">
      <alignment horizontal="center" vertical="center"/>
    </xf>
    <xf numFmtId="0" fontId="0" fillId="42" borderId="40" xfId="0" applyNumberFormat="1" applyFont="1" applyFill="1" applyBorder="1" applyAlignment="1">
      <alignment/>
    </xf>
    <xf numFmtId="0" fontId="0" fillId="42" borderId="20" xfId="0" applyNumberFormat="1" applyFont="1" applyFill="1" applyBorder="1" applyAlignment="1">
      <alignment/>
    </xf>
    <xf numFmtId="0" fontId="0" fillId="34" borderId="40" xfId="0" applyNumberFormat="1" applyFont="1" applyFill="1" applyBorder="1" applyAlignment="1">
      <alignment/>
    </xf>
    <xf numFmtId="0" fontId="0" fillId="34" borderId="20" xfId="0" applyNumberFormat="1" applyFont="1" applyFill="1" applyBorder="1" applyAlignment="1">
      <alignment/>
    </xf>
    <xf numFmtId="0" fontId="0" fillId="34" borderId="41" xfId="0" applyNumberFormat="1" applyFont="1" applyFill="1" applyBorder="1" applyAlignment="1">
      <alignment/>
    </xf>
    <xf numFmtId="0" fontId="0" fillId="34" borderId="0" xfId="0" applyNumberFormat="1" applyFont="1" applyFill="1" applyBorder="1" applyAlignment="1">
      <alignment/>
    </xf>
    <xf numFmtId="0" fontId="0" fillId="34" borderId="42" xfId="0" applyNumberFormat="1" applyFont="1" applyFill="1" applyBorder="1" applyAlignment="1">
      <alignment/>
    </xf>
    <xf numFmtId="0" fontId="0" fillId="34" borderId="43" xfId="0" applyNumberFormat="1" applyFont="1" applyFill="1" applyBorder="1" applyAlignment="1">
      <alignment/>
    </xf>
    <xf numFmtId="0" fontId="0" fillId="42" borderId="42" xfId="0" applyNumberFormat="1" applyFont="1" applyFill="1" applyBorder="1" applyAlignment="1">
      <alignment/>
    </xf>
    <xf numFmtId="0" fontId="0" fillId="42" borderId="44" xfId="0" applyNumberFormat="1" applyFont="1" applyFill="1" applyBorder="1" applyAlignment="1">
      <alignment/>
    </xf>
    <xf numFmtId="0" fontId="1" fillId="42" borderId="45" xfId="0" applyNumberFormat="1" applyFont="1" applyFill="1" applyBorder="1" applyAlignment="1">
      <alignment horizontal="right" vertical="center"/>
    </xf>
    <xf numFmtId="0" fontId="1" fillId="42" borderId="46" xfId="0" applyNumberFormat="1" applyFont="1" applyFill="1" applyBorder="1" applyAlignment="1">
      <alignment horizontal="right" vertical="center"/>
    </xf>
    <xf numFmtId="0" fontId="1" fillId="42" borderId="47" xfId="0" applyNumberFormat="1" applyFont="1" applyFill="1" applyBorder="1" applyAlignment="1">
      <alignment horizontal="right" vertical="center"/>
    </xf>
    <xf numFmtId="0" fontId="0" fillId="0" borderId="48" xfId="0" applyBorder="1" applyAlignment="1">
      <alignment/>
    </xf>
    <xf numFmtId="0" fontId="26" fillId="0" borderId="0" xfId="0" applyFont="1" applyAlignment="1">
      <alignment/>
    </xf>
    <xf numFmtId="0" fontId="14" fillId="0" borderId="0" xfId="0" applyFont="1" applyAlignment="1">
      <alignment/>
    </xf>
    <xf numFmtId="0" fontId="27" fillId="0" borderId="0" xfId="0" applyFont="1" applyAlignment="1">
      <alignment/>
    </xf>
    <xf numFmtId="2" fontId="8" fillId="42" borderId="41" xfId="0" applyNumberFormat="1" applyFont="1" applyFill="1" applyBorder="1" applyAlignment="1">
      <alignment horizontal="center" vertical="center"/>
    </xf>
    <xf numFmtId="0" fontId="0" fillId="42" borderId="43" xfId="0" applyNumberFormat="1" applyFont="1" applyFill="1" applyBorder="1" applyAlignment="1">
      <alignment/>
    </xf>
    <xf numFmtId="0" fontId="0" fillId="42" borderId="49" xfId="0" applyNumberFormat="1" applyFont="1" applyFill="1" applyBorder="1" applyAlignment="1">
      <alignment/>
    </xf>
    <xf numFmtId="0" fontId="0" fillId="42" borderId="0" xfId="0" applyNumberFormat="1" applyFont="1" applyFill="1" applyBorder="1" applyAlignment="1">
      <alignment/>
    </xf>
    <xf numFmtId="0" fontId="0" fillId="0" borderId="0" xfId="0" applyNumberFormat="1" applyFont="1" applyAlignment="1">
      <alignment horizontal="left"/>
    </xf>
    <xf numFmtId="0" fontId="0" fillId="38" borderId="50" xfId="0" applyNumberFormat="1" applyFont="1" applyFill="1" applyBorder="1" applyAlignment="1" applyProtection="1">
      <alignment horizontal="left" vertical="center"/>
      <protection locked="0"/>
    </xf>
    <xf numFmtId="0" fontId="0" fillId="38" borderId="51" xfId="0" applyNumberFormat="1" applyFont="1" applyFill="1" applyBorder="1" applyAlignment="1" applyProtection="1">
      <alignment horizontal="left" vertical="center"/>
      <protection locked="0"/>
    </xf>
    <xf numFmtId="0" fontId="0" fillId="42" borderId="52" xfId="0" applyNumberFormat="1" applyFont="1" applyFill="1" applyBorder="1" applyAlignment="1">
      <alignment/>
    </xf>
    <xf numFmtId="0" fontId="0" fillId="42" borderId="53" xfId="0" applyNumberFormat="1" applyFont="1" applyFill="1" applyBorder="1" applyAlignment="1">
      <alignment/>
    </xf>
    <xf numFmtId="0" fontId="0" fillId="42" borderId="0" xfId="0" applyNumberFormat="1" applyFill="1" applyBorder="1" applyAlignment="1">
      <alignment/>
    </xf>
    <xf numFmtId="0" fontId="0" fillId="42" borderId="46" xfId="0" applyNumberFormat="1" applyFont="1" applyFill="1" applyBorder="1" applyAlignment="1">
      <alignment/>
    </xf>
    <xf numFmtId="0" fontId="0" fillId="42" borderId="54" xfId="0" applyNumberFormat="1" applyFont="1" applyFill="1" applyBorder="1" applyAlignment="1">
      <alignment/>
    </xf>
    <xf numFmtId="0" fontId="0" fillId="42" borderId="55" xfId="0" applyNumberFormat="1" applyFont="1" applyFill="1" applyBorder="1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/>
    </xf>
    <xf numFmtId="0" fontId="14" fillId="0" borderId="0" xfId="0" applyFont="1" applyBorder="1" applyAlignment="1">
      <alignment/>
    </xf>
    <xf numFmtId="0" fontId="1" fillId="0" borderId="0" xfId="0" applyFont="1" applyAlignment="1">
      <alignment/>
    </xf>
    <xf numFmtId="2" fontId="14" fillId="0" borderId="0" xfId="0" applyNumberFormat="1" applyFont="1" applyAlignment="1">
      <alignment horizontal="right"/>
    </xf>
    <xf numFmtId="2" fontId="14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 horizontal="center" vertical="top"/>
    </xf>
    <xf numFmtId="0" fontId="9" fillId="0" borderId="43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11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3" fillId="0" borderId="0" xfId="0" applyNumberFormat="1" applyFont="1" applyAlignment="1">
      <alignment vertical="center"/>
    </xf>
    <xf numFmtId="0" fontId="12" fillId="0" borderId="0" xfId="0" applyNumberFormat="1" applyFont="1" applyAlignment="1">
      <alignment vertical="center"/>
    </xf>
    <xf numFmtId="0" fontId="10" fillId="0" borderId="0" xfId="0" applyNumberFormat="1" applyFont="1" applyAlignment="1">
      <alignment horizontal="center" vertical="center"/>
    </xf>
    <xf numFmtId="0" fontId="31" fillId="0" borderId="25" xfId="0" applyNumberFormat="1" applyFont="1" applyBorder="1" applyAlignment="1">
      <alignment horizontal="center" vertical="center"/>
    </xf>
    <xf numFmtId="0" fontId="5" fillId="0" borderId="56" xfId="0" applyNumberFormat="1" applyFont="1" applyBorder="1" applyAlignment="1">
      <alignment vertical="center"/>
    </xf>
    <xf numFmtId="0" fontId="0" fillId="38" borderId="57" xfId="0" applyNumberFormat="1" applyFont="1" applyFill="1" applyBorder="1" applyAlignment="1" applyProtection="1">
      <alignment horizontal="left"/>
      <protection locked="0"/>
    </xf>
    <xf numFmtId="0" fontId="0" fillId="38" borderId="58" xfId="0" applyNumberFormat="1" applyFont="1" applyFill="1" applyBorder="1" applyAlignment="1">
      <alignment/>
    </xf>
    <xf numFmtId="0" fontId="24" fillId="42" borderId="0" xfId="0" applyNumberFormat="1" applyFont="1" applyFill="1" applyBorder="1" applyAlignment="1">
      <alignment/>
    </xf>
    <xf numFmtId="3" fontId="0" fillId="38" borderId="33" xfId="0" applyNumberFormat="1" applyFont="1" applyFill="1" applyBorder="1" applyAlignment="1" applyProtection="1">
      <alignment horizontal="left"/>
      <protection locked="0"/>
    </xf>
    <xf numFmtId="0" fontId="25" fillId="42" borderId="54" xfId="0" applyNumberFormat="1" applyFont="1" applyFill="1" applyBorder="1" applyAlignment="1">
      <alignment/>
    </xf>
    <xf numFmtId="0" fontId="34" fillId="43" borderId="0" xfId="0" applyNumberFormat="1" applyFont="1" applyFill="1" applyAlignment="1">
      <alignment/>
    </xf>
    <xf numFmtId="0" fontId="35" fillId="43" borderId="0" xfId="0" applyNumberFormat="1" applyFont="1" applyFill="1" applyAlignment="1">
      <alignment/>
    </xf>
    <xf numFmtId="0" fontId="35" fillId="43" borderId="0" xfId="0" applyFont="1" applyFill="1" applyAlignment="1">
      <alignment/>
    </xf>
    <xf numFmtId="0" fontId="9" fillId="0" borderId="59" xfId="0" applyNumberFormat="1" applyFont="1" applyBorder="1" applyAlignment="1" applyProtection="1">
      <alignment horizontal="center" vertical="center"/>
      <protection locked="0"/>
    </xf>
    <xf numFmtId="0" fontId="9" fillId="0" borderId="60" xfId="0" applyNumberFormat="1" applyFont="1" applyBorder="1" applyAlignment="1" applyProtection="1">
      <alignment horizontal="center" vertical="center"/>
      <protection locked="0"/>
    </xf>
    <xf numFmtId="174" fontId="9" fillId="0" borderId="61" xfId="0" applyNumberFormat="1" applyFont="1" applyBorder="1" applyAlignment="1">
      <alignment horizontal="center" vertical="center"/>
    </xf>
    <xf numFmtId="0" fontId="0" fillId="41" borderId="62" xfId="0" applyNumberFormat="1" applyFont="1" applyFill="1" applyBorder="1" applyAlignment="1">
      <alignment/>
    </xf>
    <xf numFmtId="0" fontId="0" fillId="41" borderId="63" xfId="0" applyNumberFormat="1" applyFill="1" applyBorder="1" applyAlignment="1">
      <alignment vertical="center"/>
    </xf>
    <xf numFmtId="0" fontId="0" fillId="41" borderId="63" xfId="0" applyNumberFormat="1" applyFont="1" applyFill="1" applyBorder="1" applyAlignment="1">
      <alignment/>
    </xf>
    <xf numFmtId="2" fontId="0" fillId="41" borderId="63" xfId="0" applyNumberFormat="1" applyFont="1" applyFill="1" applyBorder="1" applyAlignment="1">
      <alignment/>
    </xf>
    <xf numFmtId="0" fontId="0" fillId="41" borderId="64" xfId="0" applyNumberFormat="1" applyFont="1" applyFill="1" applyBorder="1" applyAlignment="1">
      <alignment/>
    </xf>
    <xf numFmtId="0" fontId="0" fillId="40" borderId="62" xfId="0" applyNumberFormat="1" applyFont="1" applyFill="1" applyBorder="1" applyAlignment="1">
      <alignment/>
    </xf>
    <xf numFmtId="173" fontId="0" fillId="40" borderId="63" xfId="0" applyNumberFormat="1" applyFill="1" applyBorder="1" applyAlignment="1">
      <alignment/>
    </xf>
    <xf numFmtId="0" fontId="0" fillId="40" borderId="63" xfId="0" applyNumberFormat="1" applyFont="1" applyFill="1" applyBorder="1" applyAlignment="1">
      <alignment/>
    </xf>
    <xf numFmtId="173" fontId="0" fillId="40" borderId="63" xfId="0" applyNumberFormat="1" applyFont="1" applyFill="1" applyBorder="1" applyAlignment="1">
      <alignment/>
    </xf>
    <xf numFmtId="0" fontId="0" fillId="40" borderId="64" xfId="0" applyNumberFormat="1" applyFont="1" applyFill="1" applyBorder="1" applyAlignment="1">
      <alignment/>
    </xf>
    <xf numFmtId="0" fontId="0" fillId="37" borderId="62" xfId="0" applyNumberFormat="1" applyFont="1" applyFill="1" applyBorder="1" applyAlignment="1">
      <alignment/>
    </xf>
    <xf numFmtId="173" fontId="0" fillId="37" borderId="63" xfId="0" applyNumberFormat="1" applyFill="1" applyBorder="1" applyAlignment="1">
      <alignment/>
    </xf>
    <xf numFmtId="0" fontId="0" fillId="37" borderId="63" xfId="0" applyNumberFormat="1" applyFont="1" applyFill="1" applyBorder="1" applyAlignment="1">
      <alignment/>
    </xf>
    <xf numFmtId="173" fontId="0" fillId="37" borderId="63" xfId="0" applyNumberFormat="1" applyFont="1" applyFill="1" applyBorder="1" applyAlignment="1">
      <alignment/>
    </xf>
    <xf numFmtId="0" fontId="0" fillId="37" borderId="64" xfId="0" applyNumberFormat="1" applyFont="1" applyFill="1" applyBorder="1" applyAlignment="1">
      <alignment/>
    </xf>
    <xf numFmtId="0" fontId="0" fillId="44" borderId="0" xfId="0" applyNumberFormat="1" applyFont="1" applyFill="1" applyAlignment="1">
      <alignment/>
    </xf>
    <xf numFmtId="0" fontId="0" fillId="44" borderId="0" xfId="0" applyFill="1" applyAlignment="1">
      <alignment/>
    </xf>
    <xf numFmtId="0" fontId="5" fillId="44" borderId="0" xfId="0" applyFont="1" applyFill="1" applyAlignment="1">
      <alignment/>
    </xf>
    <xf numFmtId="0" fontId="0" fillId="44" borderId="0" xfId="0" applyNumberFormat="1" applyFont="1" applyFill="1" applyBorder="1" applyAlignment="1">
      <alignment/>
    </xf>
    <xf numFmtId="0" fontId="28" fillId="44" borderId="0" xfId="0" applyFont="1" applyFill="1" applyAlignment="1">
      <alignment/>
    </xf>
    <xf numFmtId="0" fontId="0" fillId="44" borderId="0" xfId="0" applyFill="1" applyAlignment="1">
      <alignment/>
    </xf>
    <xf numFmtId="0" fontId="33" fillId="44" borderId="0" xfId="0" applyNumberFormat="1" applyFont="1" applyFill="1" applyBorder="1" applyAlignment="1">
      <alignment/>
    </xf>
    <xf numFmtId="0" fontId="16" fillId="44" borderId="0" xfId="0" applyFont="1" applyFill="1" applyBorder="1" applyAlignment="1">
      <alignment/>
    </xf>
    <xf numFmtId="2" fontId="16" fillId="44" borderId="0" xfId="0" applyNumberFormat="1" applyFont="1" applyFill="1" applyAlignment="1">
      <alignment horizontal="right"/>
    </xf>
    <xf numFmtId="0" fontId="38" fillId="44" borderId="0" xfId="0" applyFont="1" applyFill="1" applyAlignment="1">
      <alignment/>
    </xf>
    <xf numFmtId="0" fontId="38" fillId="44" borderId="0" xfId="0" applyFont="1" applyFill="1" applyAlignment="1">
      <alignment horizontal="left"/>
    </xf>
    <xf numFmtId="0" fontId="0" fillId="0" borderId="0" xfId="0" applyFill="1" applyAlignment="1">
      <alignment/>
    </xf>
    <xf numFmtId="0" fontId="39" fillId="0" borderId="0" xfId="0" applyFont="1" applyAlignment="1">
      <alignment horizontal="left"/>
    </xf>
    <xf numFmtId="0" fontId="39" fillId="0" borderId="0" xfId="0" applyFont="1" applyAlignment="1">
      <alignment/>
    </xf>
    <xf numFmtId="0" fontId="39" fillId="0" borderId="0" xfId="0" applyFont="1" applyAlignment="1">
      <alignment horizontal="right"/>
    </xf>
    <xf numFmtId="0" fontId="0" fillId="44" borderId="0" xfId="0" applyNumberFormat="1" applyFill="1" applyAlignment="1">
      <alignment horizontal="left"/>
    </xf>
    <xf numFmtId="2" fontId="1" fillId="42" borderId="41" xfId="0" applyNumberFormat="1" applyFont="1" applyFill="1" applyBorder="1" applyAlignment="1">
      <alignment horizontal="left" vertical="center" indent="1"/>
    </xf>
    <xf numFmtId="2" fontId="1" fillId="42" borderId="0" xfId="0" applyNumberFormat="1" applyFont="1" applyFill="1" applyBorder="1" applyAlignment="1">
      <alignment horizontal="left" vertical="center" indent="1"/>
    </xf>
    <xf numFmtId="2" fontId="1" fillId="42" borderId="43" xfId="0" applyNumberFormat="1" applyFont="1" applyFill="1" applyBorder="1" applyAlignment="1">
      <alignment horizontal="left" vertical="center" indent="1"/>
    </xf>
    <xf numFmtId="0" fontId="0" fillId="0" borderId="65" xfId="0" applyBorder="1" applyAlignment="1">
      <alignment/>
    </xf>
    <xf numFmtId="0" fontId="0" fillId="0" borderId="65" xfId="0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57" xfId="0" applyFont="1" applyBorder="1" applyAlignment="1">
      <alignment vertical="center"/>
    </xf>
    <xf numFmtId="0" fontId="0" fillId="0" borderId="66" xfId="0" applyFont="1" applyBorder="1" applyAlignment="1">
      <alignment vertical="center"/>
    </xf>
    <xf numFmtId="0" fontId="0" fillId="0" borderId="58" xfId="0" applyFont="1" applyBorder="1" applyAlignment="1">
      <alignment vertical="center"/>
    </xf>
    <xf numFmtId="0" fontId="5" fillId="0" borderId="67" xfId="0" applyFont="1" applyBorder="1" applyAlignment="1">
      <alignment vertical="center"/>
    </xf>
    <xf numFmtId="0" fontId="0" fillId="0" borderId="68" xfId="0" applyFont="1" applyBorder="1" applyAlignment="1">
      <alignment vertical="center"/>
    </xf>
    <xf numFmtId="0" fontId="0" fillId="0" borderId="65" xfId="0" applyFont="1" applyBorder="1" applyAlignment="1">
      <alignment vertical="center"/>
    </xf>
    <xf numFmtId="0" fontId="0" fillId="0" borderId="69" xfId="0" applyFont="1" applyBorder="1" applyAlignment="1">
      <alignment vertical="center"/>
    </xf>
    <xf numFmtId="0" fontId="0" fillId="0" borderId="7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7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67" xfId="0" applyFont="1" applyBorder="1" applyAlignment="1">
      <alignment vertical="center"/>
    </xf>
    <xf numFmtId="0" fontId="0" fillId="0" borderId="72" xfId="0" applyFont="1" applyBorder="1" applyAlignment="1">
      <alignment vertical="center"/>
    </xf>
    <xf numFmtId="0" fontId="0" fillId="0" borderId="4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0" fillId="0" borderId="49" xfId="0" applyBorder="1" applyAlignment="1">
      <alignment/>
    </xf>
    <xf numFmtId="0" fontId="44" fillId="0" borderId="0" xfId="0" applyFont="1" applyAlignment="1">
      <alignment horizontal="right" vertical="center"/>
    </xf>
    <xf numFmtId="0" fontId="45" fillId="0" borderId="0" xfId="0" applyFont="1" applyAlignment="1">
      <alignment vertical="center"/>
    </xf>
    <xf numFmtId="0" fontId="0" fillId="0" borderId="25" xfId="0" applyFont="1" applyBorder="1" applyAlignment="1">
      <alignment/>
    </xf>
    <xf numFmtId="0" fontId="0" fillId="0" borderId="73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5" fillId="0" borderId="68" xfId="0" applyFont="1" applyBorder="1" applyAlignment="1">
      <alignment vertical="center"/>
    </xf>
    <xf numFmtId="0" fontId="24" fillId="42" borderId="52" xfId="0" applyNumberFormat="1" applyFont="1" applyFill="1" applyBorder="1" applyAlignment="1">
      <alignment/>
    </xf>
    <xf numFmtId="0" fontId="0" fillId="44" borderId="25" xfId="0" applyNumberFormat="1" applyFont="1" applyFill="1" applyBorder="1" applyAlignment="1">
      <alignment/>
    </xf>
    <xf numFmtId="0" fontId="0" fillId="44" borderId="57" xfId="0" applyNumberFormat="1" applyFill="1" applyBorder="1" applyAlignment="1">
      <alignment/>
    </xf>
    <xf numFmtId="0" fontId="0" fillId="44" borderId="58" xfId="0" applyNumberFormat="1" applyFont="1" applyFill="1" applyBorder="1" applyAlignment="1">
      <alignment/>
    </xf>
    <xf numFmtId="1" fontId="0" fillId="0" borderId="25" xfId="0" applyNumberFormat="1" applyBorder="1" applyAlignment="1">
      <alignment horizontal="center"/>
    </xf>
    <xf numFmtId="0" fontId="5" fillId="0" borderId="74" xfId="0" applyNumberFormat="1" applyFont="1" applyBorder="1" applyAlignment="1">
      <alignment horizontal="center"/>
    </xf>
    <xf numFmtId="0" fontId="49" fillId="0" borderId="0" xfId="0" applyNumberFormat="1" applyFont="1" applyAlignment="1">
      <alignment horizontal="right"/>
    </xf>
    <xf numFmtId="0" fontId="32" fillId="0" borderId="20" xfId="0" applyNumberFormat="1" applyFont="1" applyBorder="1" applyAlignment="1">
      <alignment horizontal="center" vertical="center"/>
    </xf>
    <xf numFmtId="0" fontId="14" fillId="0" borderId="75" xfId="0" applyNumberFormat="1" applyFont="1" applyBorder="1" applyAlignment="1">
      <alignment horizontal="center" vertical="center"/>
    </xf>
    <xf numFmtId="0" fontId="29" fillId="0" borderId="76" xfId="0" applyNumberFormat="1" applyFont="1" applyBorder="1" applyAlignment="1">
      <alignment horizontal="center" vertical="top"/>
    </xf>
    <xf numFmtId="0" fontId="4" fillId="0" borderId="77" xfId="0" applyNumberFormat="1" applyFont="1" applyBorder="1" applyAlignment="1">
      <alignment horizontal="center" vertical="center"/>
    </xf>
    <xf numFmtId="0" fontId="16" fillId="0" borderId="78" xfId="0" applyNumberFormat="1" applyFont="1" applyBorder="1" applyAlignment="1">
      <alignment horizontal="center" vertical="center"/>
    </xf>
    <xf numFmtId="0" fontId="5" fillId="0" borderId="79" xfId="0" applyNumberFormat="1" applyFont="1" applyBorder="1" applyAlignment="1">
      <alignment horizontal="center" vertical="center"/>
    </xf>
    <xf numFmtId="0" fontId="5" fillId="0" borderId="80" xfId="0" applyNumberFormat="1" applyFont="1" applyBorder="1" applyAlignment="1">
      <alignment horizontal="center" vertical="center"/>
    </xf>
    <xf numFmtId="0" fontId="16" fillId="0" borderId="20" xfId="0" applyNumberFormat="1" applyFont="1" applyBorder="1" applyAlignment="1">
      <alignment horizontal="center" vertical="center"/>
    </xf>
    <xf numFmtId="0" fontId="5" fillId="0" borderId="56" xfId="0" applyNumberFormat="1" applyFont="1" applyBorder="1" applyAlignment="1">
      <alignment horizontal="left" vertical="center"/>
    </xf>
    <xf numFmtId="0" fontId="5" fillId="0" borderId="81" xfId="0" applyNumberFormat="1" applyFont="1" applyBorder="1" applyAlignment="1">
      <alignment horizontal="center" vertical="center"/>
    </xf>
    <xf numFmtId="0" fontId="5" fillId="0" borderId="82" xfId="0" applyNumberFormat="1" applyFont="1" applyBorder="1" applyAlignment="1">
      <alignment horizontal="left" vertical="center"/>
    </xf>
    <xf numFmtId="0" fontId="5" fillId="0" borderId="83" xfId="0" applyNumberFormat="1" applyFont="1" applyBorder="1" applyAlignment="1">
      <alignment horizontal="center" vertical="center"/>
    </xf>
    <xf numFmtId="0" fontId="5" fillId="0" borderId="84" xfId="0" applyNumberFormat="1" applyFont="1" applyBorder="1" applyAlignment="1">
      <alignment horizontal="left" vertical="center"/>
    </xf>
    <xf numFmtId="0" fontId="0" fillId="0" borderId="85" xfId="0" applyNumberFormat="1" applyFont="1" applyBorder="1" applyAlignment="1">
      <alignment vertical="center"/>
    </xf>
    <xf numFmtId="0" fontId="0" fillId="0" borderId="56" xfId="0" applyNumberFormat="1" applyFont="1" applyBorder="1" applyAlignment="1">
      <alignment vertical="center"/>
    </xf>
    <xf numFmtId="0" fontId="0" fillId="0" borderId="86" xfId="0" applyNumberFormat="1" applyFont="1" applyBorder="1" applyAlignment="1">
      <alignment vertical="center"/>
    </xf>
    <xf numFmtId="0" fontId="0" fillId="0" borderId="82" xfId="0" applyNumberFormat="1" applyFont="1" applyBorder="1" applyAlignment="1">
      <alignment vertical="center"/>
    </xf>
    <xf numFmtId="0" fontId="0" fillId="0" borderId="83" xfId="0" applyNumberFormat="1" applyFont="1" applyBorder="1" applyAlignment="1">
      <alignment vertical="center"/>
    </xf>
    <xf numFmtId="0" fontId="0" fillId="0" borderId="84" xfId="0" applyNumberFormat="1" applyFont="1" applyBorder="1" applyAlignment="1">
      <alignment vertical="center"/>
    </xf>
    <xf numFmtId="0" fontId="4" fillId="0" borderId="87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vertical="center"/>
    </xf>
    <xf numFmtId="0" fontId="4" fillId="0" borderId="56" xfId="0" applyNumberFormat="1" applyFont="1" applyBorder="1" applyAlignment="1">
      <alignment vertical="center"/>
    </xf>
    <xf numFmtId="0" fontId="4" fillId="0" borderId="81" xfId="0" applyNumberFormat="1" applyFont="1" applyBorder="1" applyAlignment="1">
      <alignment vertical="center"/>
    </xf>
    <xf numFmtId="0" fontId="4" fillId="0" borderId="82" xfId="0" applyNumberFormat="1" applyFont="1" applyBorder="1" applyAlignment="1">
      <alignment vertical="center"/>
    </xf>
    <xf numFmtId="0" fontId="4" fillId="0" borderId="83" xfId="0" applyNumberFormat="1" applyFont="1" applyBorder="1" applyAlignment="1">
      <alignment vertical="center"/>
    </xf>
    <xf numFmtId="0" fontId="4" fillId="0" borderId="84" xfId="0" applyNumberFormat="1" applyFont="1" applyBorder="1" applyAlignment="1">
      <alignment vertical="center"/>
    </xf>
    <xf numFmtId="0" fontId="0" fillId="0" borderId="78" xfId="0" applyNumberFormat="1" applyFont="1" applyBorder="1" applyAlignment="1">
      <alignment horizontal="center" vertical="center"/>
    </xf>
    <xf numFmtId="0" fontId="0" fillId="0" borderId="79" xfId="0" applyNumberFormat="1" applyFont="1" applyBorder="1" applyAlignment="1">
      <alignment horizontal="center" vertical="center"/>
    </xf>
    <xf numFmtId="0" fontId="0" fillId="0" borderId="80" xfId="0" applyNumberFormat="1" applyFont="1" applyBorder="1" applyAlignment="1">
      <alignment horizontal="center" vertical="center"/>
    </xf>
    <xf numFmtId="0" fontId="4" fillId="0" borderId="88" xfId="0" applyNumberFormat="1" applyFont="1" applyBorder="1" applyAlignment="1">
      <alignment horizontal="center"/>
    </xf>
    <xf numFmtId="0" fontId="4" fillId="0" borderId="75" xfId="0" applyNumberFormat="1" applyFont="1" applyBorder="1" applyAlignment="1">
      <alignment horizontal="center" vertical="center"/>
    </xf>
    <xf numFmtId="0" fontId="4" fillId="0" borderId="78" xfId="0" applyNumberFormat="1" applyFont="1" applyBorder="1" applyAlignment="1">
      <alignment horizontal="center" vertical="center"/>
    </xf>
    <xf numFmtId="0" fontId="4" fillId="0" borderId="79" xfId="0" applyNumberFormat="1" applyFont="1" applyBorder="1" applyAlignment="1">
      <alignment horizontal="center" vertical="center"/>
    </xf>
    <xf numFmtId="0" fontId="4" fillId="0" borderId="80" xfId="0" applyNumberFormat="1" applyFont="1" applyBorder="1" applyAlignment="1">
      <alignment horizontal="center" vertical="center"/>
    </xf>
    <xf numFmtId="0" fontId="51" fillId="45" borderId="89" xfId="0" applyNumberFormat="1" applyFont="1" applyFill="1" applyBorder="1" applyAlignment="1">
      <alignment horizontal="center" vertical="center"/>
    </xf>
    <xf numFmtId="0" fontId="54" fillId="0" borderId="78" xfId="0" applyNumberFormat="1" applyFont="1" applyBorder="1" applyAlignment="1">
      <alignment horizontal="center" vertical="center"/>
    </xf>
    <xf numFmtId="0" fontId="55" fillId="0" borderId="77" xfId="0" applyNumberFormat="1" applyFont="1" applyBorder="1" applyAlignment="1">
      <alignment horizontal="center" vertical="top"/>
    </xf>
    <xf numFmtId="0" fontId="55" fillId="0" borderId="77" xfId="0" applyNumberFormat="1" applyFont="1" applyBorder="1" applyAlignment="1">
      <alignment horizontal="center" vertical="center"/>
    </xf>
    <xf numFmtId="0" fontId="24" fillId="0" borderId="56" xfId="0" applyNumberFormat="1" applyFont="1" applyBorder="1" applyAlignment="1">
      <alignment horizontal="center" vertical="center"/>
    </xf>
    <xf numFmtId="0" fontId="24" fillId="0" borderId="82" xfId="0" applyNumberFormat="1" applyFont="1" applyBorder="1" applyAlignment="1">
      <alignment horizontal="center" vertical="center"/>
    </xf>
    <xf numFmtId="0" fontId="24" fillId="0" borderId="84" xfId="0" applyNumberFormat="1" applyFont="1" applyBorder="1" applyAlignment="1">
      <alignment horizontal="center" vertical="center"/>
    </xf>
    <xf numFmtId="173" fontId="0" fillId="38" borderId="90" xfId="0" applyNumberFormat="1" applyFont="1" applyFill="1" applyBorder="1" applyAlignment="1" applyProtection="1">
      <alignment horizontal="center" vertical="center"/>
      <protection locked="0"/>
    </xf>
    <xf numFmtId="173" fontId="0" fillId="38" borderId="91" xfId="0" applyNumberFormat="1" applyFont="1" applyFill="1" applyBorder="1" applyAlignment="1" applyProtection="1">
      <alignment horizontal="center" vertical="center"/>
      <protection locked="0"/>
    </xf>
    <xf numFmtId="173" fontId="9" fillId="0" borderId="60" xfId="0" applyNumberFormat="1" applyFont="1" applyBorder="1" applyAlignment="1">
      <alignment horizontal="center" vertical="center"/>
    </xf>
    <xf numFmtId="173" fontId="0" fillId="0" borderId="25" xfId="0" applyNumberFormat="1" applyBorder="1" applyAlignment="1">
      <alignment horizontal="center"/>
    </xf>
    <xf numFmtId="173" fontId="0" fillId="0" borderId="36" xfId="0" applyNumberFormat="1" applyBorder="1" applyAlignment="1">
      <alignment horizontal="center"/>
    </xf>
    <xf numFmtId="172" fontId="0" fillId="33" borderId="0" xfId="0" applyNumberFormat="1" applyFont="1" applyFill="1" applyBorder="1" applyAlignment="1" applyProtection="1">
      <alignment horizontal="left"/>
      <protection locked="0"/>
    </xf>
    <xf numFmtId="172" fontId="0" fillId="38" borderId="25" xfId="0" applyNumberFormat="1" applyFont="1" applyFill="1" applyBorder="1" applyAlignment="1" applyProtection="1">
      <alignment horizontal="left"/>
      <protection locked="0"/>
    </xf>
    <xf numFmtId="0" fontId="0" fillId="38" borderId="67" xfId="0" applyNumberFormat="1" applyFont="1" applyFill="1" applyBorder="1" applyAlignment="1" applyProtection="1">
      <alignment horizontal="left"/>
      <protection locked="0"/>
    </xf>
    <xf numFmtId="172" fontId="0" fillId="38" borderId="69" xfId="0" applyNumberFormat="1" applyFont="1" applyFill="1" applyBorder="1" applyAlignment="1" applyProtection="1">
      <alignment horizontal="left"/>
      <protection locked="0"/>
    </xf>
    <xf numFmtId="173" fontId="14" fillId="0" borderId="42" xfId="0" applyNumberFormat="1" applyFont="1" applyBorder="1" applyAlignment="1">
      <alignment horizontal="center" vertical="center"/>
    </xf>
    <xf numFmtId="0" fontId="0" fillId="38" borderId="57" xfId="0" applyNumberFormat="1" applyFill="1" applyBorder="1" applyAlignment="1" applyProtection="1">
      <alignment horizontal="center"/>
      <protection locked="0"/>
    </xf>
    <xf numFmtId="0" fontId="0" fillId="38" borderId="66" xfId="0" applyNumberFormat="1" applyFont="1" applyFill="1" applyBorder="1" applyAlignment="1" applyProtection="1">
      <alignment horizontal="center"/>
      <protection locked="0"/>
    </xf>
    <xf numFmtId="0" fontId="0" fillId="38" borderId="58" xfId="0" applyNumberFormat="1" applyFont="1" applyFill="1" applyBorder="1" applyAlignment="1" applyProtection="1">
      <alignment horizontal="center"/>
      <protection locked="0"/>
    </xf>
    <xf numFmtId="0" fontId="0" fillId="38" borderId="57" xfId="0" applyNumberFormat="1" applyFont="1" applyFill="1" applyBorder="1" applyAlignment="1" applyProtection="1">
      <alignment horizontal="left" vertical="center"/>
      <protection locked="0"/>
    </xf>
    <xf numFmtId="0" fontId="0" fillId="38" borderId="58" xfId="0" applyNumberFormat="1" applyFont="1" applyFill="1" applyBorder="1" applyAlignment="1" applyProtection="1">
      <alignment horizontal="left" vertical="center"/>
      <protection locked="0"/>
    </xf>
    <xf numFmtId="0" fontId="14" fillId="46" borderId="41" xfId="0" applyFont="1" applyFill="1" applyBorder="1" applyAlignment="1">
      <alignment horizontal="center" vertical="center" textRotation="90"/>
    </xf>
    <xf numFmtId="0" fontId="14" fillId="46" borderId="0" xfId="0" applyFont="1" applyFill="1" applyBorder="1" applyAlignment="1">
      <alignment horizontal="center" vertical="center" textRotation="90"/>
    </xf>
    <xf numFmtId="0" fontId="14" fillId="46" borderId="43" xfId="0" applyFont="1" applyFill="1" applyBorder="1" applyAlignment="1">
      <alignment horizontal="center" vertical="center" textRotation="90"/>
    </xf>
    <xf numFmtId="0" fontId="0" fillId="47" borderId="43" xfId="0" applyFill="1" applyBorder="1" applyAlignment="1">
      <alignment horizontal="center"/>
    </xf>
    <xf numFmtId="0" fontId="14" fillId="46" borderId="87" xfId="0" applyFont="1" applyFill="1" applyBorder="1" applyAlignment="1">
      <alignment horizontal="center" vertical="center" textRotation="90"/>
    </xf>
    <xf numFmtId="0" fontId="14" fillId="46" borderId="78" xfId="0" applyFont="1" applyFill="1" applyBorder="1" applyAlignment="1">
      <alignment horizontal="center" vertical="center" textRotation="90"/>
    </xf>
    <xf numFmtId="0" fontId="14" fillId="46" borderId="77" xfId="0" applyFont="1" applyFill="1" applyBorder="1" applyAlignment="1">
      <alignment horizontal="center" vertical="center" textRotation="90"/>
    </xf>
    <xf numFmtId="2" fontId="7" fillId="0" borderId="11" xfId="0" applyNumberFormat="1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173" fontId="7" fillId="0" borderId="92" xfId="0" applyNumberFormat="1" applyFont="1" applyBorder="1" applyAlignment="1">
      <alignment horizontal="center"/>
    </xf>
    <xf numFmtId="173" fontId="7" fillId="0" borderId="93" xfId="0" applyNumberFormat="1" applyFont="1" applyBorder="1" applyAlignment="1">
      <alignment horizontal="center"/>
    </xf>
    <xf numFmtId="173" fontId="7" fillId="0" borderId="94" xfId="0" applyNumberFormat="1" applyFont="1" applyBorder="1" applyAlignment="1">
      <alignment horizontal="center"/>
    </xf>
    <xf numFmtId="0" fontId="21" fillId="0" borderId="0" xfId="0" applyNumberFormat="1" applyFont="1" applyAlignment="1">
      <alignment horizontal="center"/>
    </xf>
    <xf numFmtId="2" fontId="7" fillId="0" borderId="92" xfId="0" applyNumberFormat="1" applyFont="1" applyBorder="1" applyAlignment="1">
      <alignment horizontal="center" vertical="center"/>
    </xf>
    <xf numFmtId="2" fontId="7" fillId="0" borderId="93" xfId="0" applyNumberFormat="1" applyFont="1" applyBorder="1" applyAlignment="1">
      <alignment horizontal="center" vertical="center"/>
    </xf>
    <xf numFmtId="2" fontId="7" fillId="0" borderId="94" xfId="0" applyNumberFormat="1" applyFont="1" applyBorder="1" applyAlignment="1">
      <alignment horizontal="center" vertical="center"/>
    </xf>
    <xf numFmtId="2" fontId="53" fillId="45" borderId="40" xfId="0" applyNumberFormat="1" applyFont="1" applyFill="1" applyBorder="1" applyAlignment="1">
      <alignment horizontal="center" vertical="center"/>
    </xf>
    <xf numFmtId="0" fontId="53" fillId="39" borderId="41" xfId="0" applyFont="1" applyFill="1" applyBorder="1" applyAlignment="1">
      <alignment vertical="center"/>
    </xf>
    <xf numFmtId="0" fontId="53" fillId="39" borderId="88" xfId="0" applyFont="1" applyFill="1" applyBorder="1" applyAlignment="1">
      <alignment vertical="center"/>
    </xf>
    <xf numFmtId="0" fontId="53" fillId="39" borderId="20" xfId="0" applyFont="1" applyFill="1" applyBorder="1" applyAlignment="1">
      <alignment vertical="center"/>
    </xf>
    <xf numFmtId="0" fontId="53" fillId="39" borderId="0" xfId="0" applyFont="1" applyFill="1" applyBorder="1" applyAlignment="1">
      <alignment vertical="center"/>
    </xf>
    <xf numFmtId="0" fontId="53" fillId="39" borderId="56" xfId="0" applyFont="1" applyFill="1" applyBorder="1" applyAlignment="1">
      <alignment vertical="center"/>
    </xf>
    <xf numFmtId="0" fontId="53" fillId="39" borderId="42" xfId="0" applyFont="1" applyFill="1" applyBorder="1" applyAlignment="1">
      <alignment vertical="center"/>
    </xf>
    <xf numFmtId="0" fontId="53" fillId="39" borderId="43" xfId="0" applyFont="1" applyFill="1" applyBorder="1" applyAlignment="1">
      <alignment vertical="center"/>
    </xf>
    <xf numFmtId="0" fontId="53" fillId="39" borderId="75" xfId="0" applyFont="1" applyFill="1" applyBorder="1" applyAlignment="1">
      <alignment vertical="center"/>
    </xf>
    <xf numFmtId="0" fontId="4" fillId="0" borderId="40" xfId="0" applyNumberFormat="1" applyFont="1" applyBorder="1" applyAlignment="1">
      <alignment horizontal="center"/>
    </xf>
    <xf numFmtId="0" fontId="0" fillId="0" borderId="88" xfId="0" applyBorder="1" applyAlignment="1">
      <alignment horizontal="center"/>
    </xf>
    <xf numFmtId="173" fontId="56" fillId="0" borderId="83" xfId="0" applyNumberFormat="1" applyFont="1" applyBorder="1" applyAlignment="1">
      <alignment horizontal="center" vertical="center"/>
    </xf>
    <xf numFmtId="173" fontId="56" fillId="0" borderId="84" xfId="0" applyNumberFormat="1" applyFont="1" applyBorder="1" applyAlignment="1">
      <alignment horizontal="center" vertical="center"/>
    </xf>
    <xf numFmtId="173" fontId="0" fillId="0" borderId="95" xfId="0" applyNumberFormat="1" applyFont="1" applyBorder="1" applyAlignment="1">
      <alignment horizontal="center" vertical="center"/>
    </xf>
    <xf numFmtId="173" fontId="0" fillId="0" borderId="96" xfId="0" applyNumberFormat="1" applyBorder="1" applyAlignment="1">
      <alignment vertical="center"/>
    </xf>
    <xf numFmtId="173" fontId="0" fillId="0" borderId="86" xfId="0" applyNumberFormat="1" applyFont="1" applyBorder="1" applyAlignment="1">
      <alignment horizontal="center" vertical="center"/>
    </xf>
    <xf numFmtId="173" fontId="0" fillId="0" borderId="97" xfId="0" applyNumberFormat="1" applyBorder="1" applyAlignment="1">
      <alignment horizontal="center" vertical="center"/>
    </xf>
    <xf numFmtId="173" fontId="0" fillId="0" borderId="83" xfId="0" applyNumberFormat="1" applyFont="1" applyBorder="1" applyAlignment="1">
      <alignment horizontal="center" vertical="center"/>
    </xf>
    <xf numFmtId="173" fontId="0" fillId="0" borderId="84" xfId="0" applyNumberFormat="1" applyBorder="1" applyAlignment="1">
      <alignment horizontal="center" vertical="center"/>
    </xf>
    <xf numFmtId="173" fontId="56" fillId="0" borderId="95" xfId="0" applyNumberFormat="1" applyFont="1" applyBorder="1" applyAlignment="1">
      <alignment horizontal="center" vertical="center"/>
    </xf>
    <xf numFmtId="173" fontId="56" fillId="0" borderId="96" xfId="0" applyNumberFormat="1" applyFont="1" applyBorder="1" applyAlignment="1">
      <alignment horizontal="center" vertical="center"/>
    </xf>
    <xf numFmtId="173" fontId="56" fillId="0" borderId="86" xfId="0" applyNumberFormat="1" applyFont="1" applyBorder="1" applyAlignment="1">
      <alignment horizontal="center" vertical="center"/>
    </xf>
    <xf numFmtId="173" fontId="56" fillId="0" borderId="97" xfId="0" applyNumberFormat="1" applyFont="1" applyBorder="1" applyAlignment="1">
      <alignment horizontal="center" vertical="center"/>
    </xf>
    <xf numFmtId="0" fontId="53" fillId="39" borderId="41" xfId="0" applyFont="1" applyFill="1" applyBorder="1" applyAlignment="1">
      <alignment horizontal="center" vertical="center"/>
    </xf>
    <xf numFmtId="0" fontId="53" fillId="39" borderId="88" xfId="0" applyFont="1" applyFill="1" applyBorder="1" applyAlignment="1">
      <alignment horizontal="center" vertical="center"/>
    </xf>
    <xf numFmtId="0" fontId="53" fillId="39" borderId="20" xfId="0" applyFont="1" applyFill="1" applyBorder="1" applyAlignment="1">
      <alignment horizontal="center" vertical="center"/>
    </xf>
    <xf numFmtId="0" fontId="53" fillId="39" borderId="0" xfId="0" applyFont="1" applyFill="1" applyBorder="1" applyAlignment="1">
      <alignment horizontal="center" vertical="center"/>
    </xf>
    <xf numFmtId="0" fontId="53" fillId="39" borderId="56" xfId="0" applyFont="1" applyFill="1" applyBorder="1" applyAlignment="1">
      <alignment horizontal="center" vertical="center"/>
    </xf>
    <xf numFmtId="0" fontId="53" fillId="39" borderId="42" xfId="0" applyFont="1" applyFill="1" applyBorder="1" applyAlignment="1">
      <alignment horizontal="center" vertical="center"/>
    </xf>
    <xf numFmtId="0" fontId="53" fillId="39" borderId="43" xfId="0" applyFont="1" applyFill="1" applyBorder="1" applyAlignment="1">
      <alignment horizontal="center" vertical="center"/>
    </xf>
    <xf numFmtId="0" fontId="53" fillId="39" borderId="75" xfId="0" applyFont="1" applyFill="1" applyBorder="1" applyAlignment="1">
      <alignment horizontal="center" vertical="center"/>
    </xf>
    <xf numFmtId="0" fontId="47" fillId="0" borderId="0" xfId="0" applyNumberFormat="1" applyFont="1" applyAlignment="1">
      <alignment horizontal="center" vertical="center"/>
    </xf>
    <xf numFmtId="0" fontId="51" fillId="0" borderId="87" xfId="0" applyNumberFormat="1" applyFont="1" applyBorder="1" applyAlignment="1">
      <alignment horizontal="center"/>
    </xf>
    <xf numFmtId="0" fontId="51" fillId="0" borderId="78" xfId="0" applyNumberFormat="1" applyFont="1" applyBorder="1" applyAlignment="1">
      <alignment horizontal="center"/>
    </xf>
    <xf numFmtId="0" fontId="14" fillId="0" borderId="88" xfId="0" applyNumberFormat="1" applyFont="1" applyBorder="1" applyAlignment="1">
      <alignment horizontal="center"/>
    </xf>
    <xf numFmtId="0" fontId="14" fillId="0" borderId="56" xfId="0" applyNumberFormat="1" applyFont="1" applyBorder="1" applyAlignment="1">
      <alignment horizontal="center"/>
    </xf>
    <xf numFmtId="0" fontId="14" fillId="0" borderId="40" xfId="0" applyNumberFormat="1" applyFont="1" applyBorder="1" applyAlignment="1">
      <alignment horizontal="center"/>
    </xf>
    <xf numFmtId="0" fontId="14" fillId="0" borderId="20" xfId="0" applyNumberFormat="1" applyFont="1" applyBorder="1" applyAlignment="1">
      <alignment horizontal="center"/>
    </xf>
    <xf numFmtId="0" fontId="50" fillId="0" borderId="98" xfId="0" applyNumberFormat="1" applyFont="1" applyBorder="1" applyAlignment="1">
      <alignment horizontal="center"/>
    </xf>
    <xf numFmtId="0" fontId="52" fillId="0" borderId="99" xfId="0" applyFont="1" applyBorder="1" applyAlignment="1">
      <alignment/>
    </xf>
    <xf numFmtId="0" fontId="52" fillId="0" borderId="100" xfId="0" applyFont="1" applyBorder="1" applyAlignment="1">
      <alignment/>
    </xf>
    <xf numFmtId="0" fontId="0" fillId="0" borderId="40" xfId="0" applyNumberFormat="1" applyFont="1" applyBorder="1" applyAlignment="1">
      <alignment horizontal="center" vertical="center"/>
    </xf>
    <xf numFmtId="0" fontId="0" fillId="0" borderId="88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4" fillId="0" borderId="42" xfId="0" applyNumberFormat="1" applyFont="1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87" xfId="0" applyNumberFormat="1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0" fillId="0" borderId="40" xfId="0" applyNumberFormat="1" applyFont="1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49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48" fillId="0" borderId="0" xfId="0" applyFont="1" applyAlignment="1">
      <alignment horizontal="center"/>
    </xf>
    <xf numFmtId="0" fontId="0" fillId="0" borderId="0" xfId="0" applyAlignment="1">
      <alignment/>
    </xf>
    <xf numFmtId="0" fontId="50" fillId="0" borderId="99" xfId="0" applyFont="1" applyBorder="1" applyAlignment="1">
      <alignment/>
    </xf>
    <xf numFmtId="0" fontId="50" fillId="0" borderId="100" xfId="0" applyFont="1" applyBorder="1" applyAlignment="1">
      <alignment/>
    </xf>
    <xf numFmtId="0" fontId="49" fillId="0" borderId="0" xfId="0" applyNumberFormat="1" applyFont="1" applyAlignment="1">
      <alignment horizontal="center"/>
    </xf>
    <xf numFmtId="0" fontId="49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 applyAlignment="1">
      <alignment horizontal="right"/>
    </xf>
    <xf numFmtId="0" fontId="49" fillId="0" borderId="0" xfId="0" applyNumberFormat="1" applyFont="1" applyBorder="1" applyAlignment="1">
      <alignment horizontal="left"/>
    </xf>
    <xf numFmtId="0" fontId="5" fillId="0" borderId="0" xfId="0" applyFont="1" applyAlignment="1">
      <alignment horizontal="center"/>
    </xf>
    <xf numFmtId="0" fontId="10" fillId="0" borderId="101" xfId="0" applyFont="1" applyBorder="1" applyAlignment="1">
      <alignment horizontal="center"/>
    </xf>
    <xf numFmtId="0" fontId="10" fillId="0" borderId="48" xfId="0" applyFont="1" applyBorder="1" applyAlignment="1">
      <alignment horizontal="center"/>
    </xf>
    <xf numFmtId="0" fontId="10" fillId="0" borderId="102" xfId="0" applyFont="1" applyBorder="1" applyAlignment="1">
      <alignment horizontal="center"/>
    </xf>
    <xf numFmtId="2" fontId="26" fillId="0" borderId="57" xfId="0" applyNumberFormat="1" applyFont="1" applyBorder="1" applyAlignment="1">
      <alignment horizontal="center" vertical="center"/>
    </xf>
    <xf numFmtId="2" fontId="26" fillId="0" borderId="66" xfId="0" applyNumberFormat="1" applyFont="1" applyBorder="1" applyAlignment="1">
      <alignment horizontal="center" vertical="center"/>
    </xf>
    <xf numFmtId="2" fontId="26" fillId="0" borderId="58" xfId="0" applyNumberFormat="1" applyFont="1" applyBorder="1" applyAlignment="1">
      <alignment horizontal="center" vertical="center"/>
    </xf>
    <xf numFmtId="2" fontId="10" fillId="0" borderId="68" xfId="0" applyNumberFormat="1" applyFont="1" applyBorder="1" applyAlignment="1">
      <alignment horizontal="center"/>
    </xf>
    <xf numFmtId="2" fontId="41" fillId="0" borderId="65" xfId="0" applyNumberFormat="1" applyFont="1" applyBorder="1" applyAlignment="1">
      <alignment horizontal="center"/>
    </xf>
    <xf numFmtId="0" fontId="42" fillId="0" borderId="0" xfId="0" applyFont="1" applyAlignment="1">
      <alignment horizontal="center"/>
    </xf>
    <xf numFmtId="0" fontId="10" fillId="0" borderId="68" xfId="0" applyFont="1" applyBorder="1" applyAlignment="1">
      <alignment horizontal="center" vertical="center"/>
    </xf>
    <xf numFmtId="0" fontId="10" fillId="0" borderId="72" xfId="0" applyFont="1" applyBorder="1" applyAlignment="1">
      <alignment horizontal="center" vertical="center"/>
    </xf>
    <xf numFmtId="0" fontId="10" fillId="0" borderId="65" xfId="0" applyFont="1" applyBorder="1" applyAlignment="1">
      <alignment horizontal="center" vertical="center"/>
    </xf>
    <xf numFmtId="0" fontId="10" fillId="0" borderId="70" xfId="0" applyFont="1" applyBorder="1" applyAlignment="1">
      <alignment horizontal="center" vertical="center"/>
    </xf>
    <xf numFmtId="0" fontId="46" fillId="0" borderId="33" xfId="0" applyFont="1" applyBorder="1" applyAlignment="1">
      <alignment horizontal="center" vertical="center"/>
    </xf>
    <xf numFmtId="0" fontId="46" fillId="0" borderId="103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/>
    </xf>
    <xf numFmtId="181" fontId="14" fillId="0" borderId="67" xfId="0" applyNumberFormat="1" applyFont="1" applyBorder="1" applyAlignment="1" applyProtection="1">
      <alignment horizontal="center" vertical="center"/>
      <protection locked="0"/>
    </xf>
    <xf numFmtId="181" fontId="14" fillId="0" borderId="68" xfId="0" applyNumberFormat="1" applyFont="1" applyBorder="1" applyAlignment="1" applyProtection="1">
      <alignment horizontal="center" vertical="center"/>
      <protection locked="0"/>
    </xf>
    <xf numFmtId="181" fontId="14" fillId="0" borderId="72" xfId="0" applyNumberFormat="1" applyFont="1" applyBorder="1" applyAlignment="1" applyProtection="1">
      <alignment horizontal="center" vertical="center"/>
      <protection locked="0"/>
    </xf>
    <xf numFmtId="181" fontId="14" fillId="0" borderId="49" xfId="0" applyNumberFormat="1" applyFont="1" applyBorder="1" applyAlignment="1" applyProtection="1">
      <alignment horizontal="center" vertical="center"/>
      <protection locked="0"/>
    </xf>
    <xf numFmtId="181" fontId="14" fillId="0" borderId="0" xfId="0" applyNumberFormat="1" applyFont="1" applyBorder="1" applyAlignment="1" applyProtection="1">
      <alignment horizontal="center" vertical="center"/>
      <protection locked="0"/>
    </xf>
    <xf numFmtId="181" fontId="14" fillId="0" borderId="38" xfId="0" applyNumberFormat="1" applyFont="1" applyBorder="1" applyAlignment="1" applyProtection="1">
      <alignment horizontal="center" vertical="center"/>
      <protection locked="0"/>
    </xf>
    <xf numFmtId="181" fontId="14" fillId="0" borderId="69" xfId="0" applyNumberFormat="1" applyFont="1" applyBorder="1" applyAlignment="1" applyProtection="1">
      <alignment horizontal="center" vertical="center"/>
      <protection locked="0"/>
    </xf>
    <xf numFmtId="181" fontId="14" fillId="0" borderId="65" xfId="0" applyNumberFormat="1" applyFont="1" applyBorder="1" applyAlignment="1" applyProtection="1">
      <alignment horizontal="center" vertical="center"/>
      <protection locked="0"/>
    </xf>
    <xf numFmtId="181" fontId="14" fillId="0" borderId="70" xfId="0" applyNumberFormat="1" applyFont="1" applyBorder="1" applyAlignment="1" applyProtection="1">
      <alignment horizontal="center" vertical="center"/>
      <protection locked="0"/>
    </xf>
    <xf numFmtId="0" fontId="30" fillId="0" borderId="67" xfId="0" applyFont="1" applyBorder="1" applyAlignment="1" applyProtection="1">
      <alignment horizontal="center" vertical="center"/>
      <protection locked="0"/>
    </xf>
    <xf numFmtId="0" fontId="30" fillId="0" borderId="68" xfId="0" applyFont="1" applyBorder="1" applyAlignment="1" applyProtection="1">
      <alignment horizontal="center" vertical="center"/>
      <protection locked="0"/>
    </xf>
    <xf numFmtId="0" fontId="30" fillId="0" borderId="72" xfId="0" applyFont="1" applyBorder="1" applyAlignment="1" applyProtection="1">
      <alignment horizontal="center" vertical="center"/>
      <protection locked="0"/>
    </xf>
    <xf numFmtId="0" fontId="30" fillId="0" borderId="49" xfId="0" applyFont="1" applyBorder="1" applyAlignment="1" applyProtection="1">
      <alignment horizontal="center" vertical="center"/>
      <protection locked="0"/>
    </xf>
    <xf numFmtId="0" fontId="30" fillId="0" borderId="0" xfId="0" applyFont="1" applyAlignment="1" applyProtection="1">
      <alignment horizontal="center" vertical="center"/>
      <protection locked="0"/>
    </xf>
    <xf numFmtId="0" fontId="30" fillId="0" borderId="38" xfId="0" applyFont="1" applyBorder="1" applyAlignment="1" applyProtection="1">
      <alignment horizontal="center" vertical="center"/>
      <protection locked="0"/>
    </xf>
    <xf numFmtId="0" fontId="30" fillId="0" borderId="69" xfId="0" applyFont="1" applyBorder="1" applyAlignment="1" applyProtection="1">
      <alignment horizontal="center" vertical="center"/>
      <protection locked="0"/>
    </xf>
    <xf numFmtId="0" fontId="30" fillId="0" borderId="65" xfId="0" applyFont="1" applyBorder="1" applyAlignment="1" applyProtection="1">
      <alignment horizontal="center" vertical="center"/>
      <protection locked="0"/>
    </xf>
    <xf numFmtId="0" fontId="30" fillId="0" borderId="70" xfId="0" applyFont="1" applyBorder="1" applyAlignment="1" applyProtection="1">
      <alignment horizontal="center" vertical="center"/>
      <protection locked="0"/>
    </xf>
    <xf numFmtId="0" fontId="10" fillId="0" borderId="67" xfId="0" applyFont="1" applyBorder="1" applyAlignment="1" applyProtection="1">
      <alignment horizontal="center" vertical="center"/>
      <protection locked="0"/>
    </xf>
    <xf numFmtId="0" fontId="10" fillId="0" borderId="68" xfId="0" applyFont="1" applyBorder="1" applyAlignment="1" applyProtection="1">
      <alignment horizontal="center" vertical="center"/>
      <protection locked="0"/>
    </xf>
    <xf numFmtId="0" fontId="10" fillId="0" borderId="69" xfId="0" applyFont="1" applyBorder="1" applyAlignment="1" applyProtection="1">
      <alignment horizontal="center" vertical="center"/>
      <protection locked="0"/>
    </xf>
    <xf numFmtId="0" fontId="10" fillId="0" borderId="65" xfId="0" applyFont="1" applyBorder="1" applyAlignment="1" applyProtection="1">
      <alignment horizontal="center" vertical="center"/>
      <protection locked="0"/>
    </xf>
    <xf numFmtId="0" fontId="4" fillId="0" borderId="72" xfId="0" applyFont="1" applyBorder="1" applyAlignment="1">
      <alignment horizontal="right" vertical="center"/>
    </xf>
    <xf numFmtId="0" fontId="4" fillId="0" borderId="70" xfId="0" applyFont="1" applyBorder="1" applyAlignment="1">
      <alignment horizontal="right" vertical="center"/>
    </xf>
    <xf numFmtId="0" fontId="10" fillId="0" borderId="57" xfId="0" applyFont="1" applyBorder="1" applyAlignment="1" applyProtection="1">
      <alignment horizontal="center" vertical="center"/>
      <protection locked="0"/>
    </xf>
    <xf numFmtId="0" fontId="10" fillId="0" borderId="66" xfId="0" applyFont="1" applyBorder="1" applyAlignment="1" applyProtection="1">
      <alignment horizontal="center" vertical="center"/>
      <protection locked="0"/>
    </xf>
    <xf numFmtId="0" fontId="10" fillId="0" borderId="58" xfId="0" applyFont="1" applyBorder="1" applyAlignment="1" applyProtection="1">
      <alignment horizontal="center" vertical="center"/>
      <protection locked="0"/>
    </xf>
    <xf numFmtId="0" fontId="5" fillId="0" borderId="66" xfId="0" applyFont="1" applyBorder="1" applyAlignment="1" applyProtection="1">
      <alignment horizontal="center" vertical="center"/>
      <protection locked="0"/>
    </xf>
    <xf numFmtId="0" fontId="5" fillId="0" borderId="58" xfId="0" applyFont="1" applyBorder="1" applyAlignment="1" applyProtection="1">
      <alignment horizontal="center" vertical="center"/>
      <protection locked="0"/>
    </xf>
    <xf numFmtId="0" fontId="30" fillId="0" borderId="57" xfId="0" applyFont="1" applyBorder="1" applyAlignment="1" applyProtection="1" quotePrefix="1">
      <alignment horizontal="center" vertical="center"/>
      <protection locked="0"/>
    </xf>
    <xf numFmtId="0" fontId="30" fillId="0" borderId="66" xfId="0" applyFont="1" applyBorder="1" applyAlignment="1" applyProtection="1">
      <alignment horizontal="center" vertical="center"/>
      <protection locked="0"/>
    </xf>
    <xf numFmtId="0" fontId="30" fillId="0" borderId="58" xfId="0" applyFont="1" applyBorder="1" applyAlignment="1" applyProtection="1">
      <alignment horizontal="center" vertical="center"/>
      <protection locked="0"/>
    </xf>
    <xf numFmtId="0" fontId="30" fillId="0" borderId="57" xfId="0" applyFont="1" applyBorder="1" applyAlignment="1" applyProtection="1">
      <alignment horizontal="center" vertical="center"/>
      <protection locked="0"/>
    </xf>
    <xf numFmtId="173" fontId="10" fillId="0" borderId="57" xfId="0" applyNumberFormat="1" applyFont="1" applyBorder="1" applyAlignment="1" applyProtection="1">
      <alignment horizontal="center" vertical="center"/>
      <protection locked="0"/>
    </xf>
    <xf numFmtId="173" fontId="10" fillId="0" borderId="66" xfId="0" applyNumberFormat="1" applyFont="1" applyBorder="1" applyAlignment="1" applyProtection="1">
      <alignment horizontal="center" vertical="center"/>
      <protection locked="0"/>
    </xf>
    <xf numFmtId="173" fontId="10" fillId="0" borderId="58" xfId="0" applyNumberFormat="1" applyFont="1" applyBorder="1" applyAlignment="1" applyProtection="1">
      <alignment horizontal="center" vertical="center"/>
      <protection locked="0"/>
    </xf>
    <xf numFmtId="0" fontId="43" fillId="0" borderId="0" xfId="0" applyFont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14" fillId="0" borderId="73" xfId="0" applyFont="1" applyBorder="1" applyAlignment="1" applyProtection="1">
      <alignment horizontal="center" vertical="center"/>
      <protection locked="0"/>
    </xf>
    <xf numFmtId="181" fontId="14" fillId="0" borderId="73" xfId="0" applyNumberFormat="1" applyFont="1" applyBorder="1" applyAlignment="1" applyProtection="1">
      <alignment horizontal="center" vertical="center"/>
      <protection locked="0"/>
    </xf>
    <xf numFmtId="0" fontId="1" fillId="0" borderId="65" xfId="0" applyFont="1" applyBorder="1" applyAlignment="1">
      <alignment horizontal="center" vertical="center"/>
    </xf>
    <xf numFmtId="0" fontId="11" fillId="0" borderId="101" xfId="0" applyFont="1" applyBorder="1" applyAlignment="1">
      <alignment horizontal="center"/>
    </xf>
    <xf numFmtId="0" fontId="11" fillId="0" borderId="48" xfId="0" applyFont="1" applyBorder="1" applyAlignment="1">
      <alignment horizontal="center"/>
    </xf>
    <xf numFmtId="0" fontId="11" fillId="0" borderId="102" xfId="0" applyFont="1" applyBorder="1" applyAlignment="1">
      <alignment horizontal="center"/>
    </xf>
  </cellXfs>
  <cellStyles count="4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Neutre" xfId="45"/>
    <cellStyle name="Satisfaisant" xfId="46"/>
    <cellStyle name="Sortie" xfId="47"/>
    <cellStyle name="Texte explicatif" xfId="48"/>
    <cellStyle name="Titre" xfId="49"/>
    <cellStyle name="Titre 1" xfId="50"/>
    <cellStyle name="Titre 2" xfId="51"/>
    <cellStyle name="Titre 3" xfId="52"/>
    <cellStyle name="Titre 4" xfId="53"/>
    <cellStyle name="Total" xfId="54"/>
    <cellStyle name="Vérification" xfId="55"/>
  </cellStyles>
  <dxfs count="11">
    <dxf>
      <font>
        <color indexed="9"/>
      </font>
    </dxf>
    <dxf>
      <font>
        <color indexed="9"/>
      </font>
      <fill>
        <patternFill>
          <bgColor indexed="8"/>
        </patternFill>
      </fill>
    </dxf>
    <dxf>
      <font>
        <color indexed="9"/>
      </font>
    </dxf>
    <dxf>
      <fill>
        <patternFill>
          <bgColor indexed="8"/>
        </patternFill>
      </fill>
    </dxf>
    <dxf>
      <fill>
        <patternFill patternType="solid">
          <bgColor indexed="10"/>
        </patternFill>
      </fill>
    </dxf>
    <dxf>
      <font>
        <color indexed="8"/>
      </font>
      <fill>
        <patternFill patternType="solid">
          <bgColor indexed="13"/>
        </patternFill>
      </fill>
    </dxf>
    <dxf>
      <fill>
        <patternFill patternType="solid">
          <bgColor indexed="12"/>
        </patternFill>
      </fill>
    </dxf>
    <dxf>
      <fill>
        <patternFill>
          <bgColor indexed="15"/>
        </patternFill>
      </fill>
    </dxf>
    <dxf>
      <font>
        <color rgb="FF000000"/>
      </font>
      <fill>
        <patternFill patternType="solid">
          <bgColor rgb="FFFFFF00"/>
        </patternFill>
      </fill>
      <border/>
    </dxf>
    <dxf>
      <font>
        <color rgb="FFFFFFFF"/>
      </font>
      <border/>
    </dxf>
    <dxf>
      <font>
        <color rgb="FFFFFFFF"/>
      </font>
      <fill>
        <patternFill>
          <bgColor rgb="FF00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emf" /><Relationship Id="rId5" Type="http://schemas.openxmlformats.org/officeDocument/2006/relationships/image" Target="../media/image5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16</xdr:row>
      <xdr:rowOff>142875</xdr:rowOff>
    </xdr:from>
    <xdr:to>
      <xdr:col>3</xdr:col>
      <xdr:colOff>495300</xdr:colOff>
      <xdr:row>18</xdr:row>
      <xdr:rowOff>28575</xdr:rowOff>
    </xdr:to>
    <xdr:sp macro="[0]!deuxdecimales">
      <xdr:nvSpPr>
        <xdr:cNvPr id="1" name="Rectangle 9"/>
        <xdr:cNvSpPr>
          <a:spLocks/>
        </xdr:cNvSpPr>
      </xdr:nvSpPr>
      <xdr:spPr>
        <a:xfrm>
          <a:off x="3181350" y="3533775"/>
          <a:ext cx="485775" cy="26670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4</xdr:col>
      <xdr:colOff>19050</xdr:colOff>
      <xdr:row>16</xdr:row>
      <xdr:rowOff>142875</xdr:rowOff>
    </xdr:from>
    <xdr:to>
      <xdr:col>4</xdr:col>
      <xdr:colOff>504825</xdr:colOff>
      <xdr:row>18</xdr:row>
      <xdr:rowOff>28575</xdr:rowOff>
    </xdr:to>
    <xdr:sp macro="[0]!troisdecimales">
      <xdr:nvSpPr>
        <xdr:cNvPr id="2" name="Rectangle 11"/>
        <xdr:cNvSpPr>
          <a:spLocks/>
        </xdr:cNvSpPr>
      </xdr:nvSpPr>
      <xdr:spPr>
        <a:xfrm>
          <a:off x="4191000" y="3533775"/>
          <a:ext cx="485775" cy="26670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3</xdr:row>
      <xdr:rowOff>66675</xdr:rowOff>
    </xdr:from>
    <xdr:to>
      <xdr:col>5</xdr:col>
      <xdr:colOff>542925</xdr:colOff>
      <xdr:row>4</xdr:row>
      <xdr:rowOff>104775</xdr:rowOff>
    </xdr:to>
    <xdr:sp>
      <xdr:nvSpPr>
        <xdr:cNvPr id="1" name="Rectangle 11"/>
        <xdr:cNvSpPr>
          <a:spLocks/>
        </xdr:cNvSpPr>
      </xdr:nvSpPr>
      <xdr:spPr>
        <a:xfrm>
          <a:off x="333375" y="628650"/>
          <a:ext cx="2771775" cy="219075"/>
        </a:xfrm>
        <a:prstGeom prst="rect">
          <a:avLst/>
        </a:prstGeom>
        <a:solidFill>
          <a:srgbClr val="00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entrer les résultats dans les cases bleutées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76200</xdr:colOff>
      <xdr:row>0</xdr:row>
      <xdr:rowOff>76200</xdr:rowOff>
    </xdr:from>
    <xdr:to>
      <xdr:col>18</xdr:col>
      <xdr:colOff>1038225</xdr:colOff>
      <xdr:row>6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30200" y="76200"/>
          <a:ext cx="9620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333375</xdr:colOff>
      <xdr:row>9</xdr:row>
      <xdr:rowOff>28575</xdr:rowOff>
    </xdr:from>
    <xdr:to>
      <xdr:col>39</xdr:col>
      <xdr:colOff>609600</xdr:colOff>
      <xdr:row>15</xdr:row>
      <xdr:rowOff>171450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918150" y="1838325"/>
          <a:ext cx="11049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1</xdr:row>
      <xdr:rowOff>28575</xdr:rowOff>
    </xdr:from>
    <xdr:to>
      <xdr:col>2</xdr:col>
      <xdr:colOff>847725</xdr:colOff>
      <xdr:row>6</xdr:row>
      <xdr:rowOff>161925</xdr:rowOff>
    </xdr:to>
    <xdr:pic>
      <xdr:nvPicPr>
        <xdr:cNvPr id="3" name="Picture 5" descr="images[8]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8675" y="476250"/>
          <a:ext cx="8191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142875</xdr:colOff>
      <xdr:row>1</xdr:row>
      <xdr:rowOff>28575</xdr:rowOff>
    </xdr:from>
    <xdr:to>
      <xdr:col>14</xdr:col>
      <xdr:colOff>647700</xdr:colOff>
      <xdr:row>6</xdr:row>
      <xdr:rowOff>133350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86700" y="476250"/>
          <a:ext cx="8191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800100</xdr:colOff>
      <xdr:row>1</xdr:row>
      <xdr:rowOff>142875</xdr:rowOff>
    </xdr:from>
    <xdr:to>
      <xdr:col>23</xdr:col>
      <xdr:colOff>657225</xdr:colOff>
      <xdr:row>6</xdr:row>
      <xdr:rowOff>66675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126075" y="590550"/>
          <a:ext cx="6858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1104900</xdr:colOff>
      <xdr:row>13</xdr:row>
      <xdr:rowOff>161925</xdr:rowOff>
    </xdr:from>
    <xdr:to>
      <xdr:col>23</xdr:col>
      <xdr:colOff>657225</xdr:colOff>
      <xdr:row>17</xdr:row>
      <xdr:rowOff>180975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173575" y="2790825"/>
          <a:ext cx="16383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409575</xdr:colOff>
      <xdr:row>8</xdr:row>
      <xdr:rowOff>114300</xdr:rowOff>
    </xdr:from>
    <xdr:to>
      <xdr:col>22</xdr:col>
      <xdr:colOff>790575</xdr:colOff>
      <xdr:row>12</xdr:row>
      <xdr:rowOff>123825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478250" y="1647825"/>
          <a:ext cx="16383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</xdr:rowOff>
    </xdr:from>
    <xdr:to>
      <xdr:col>1</xdr:col>
      <xdr:colOff>323850</xdr:colOff>
      <xdr:row>2</xdr:row>
      <xdr:rowOff>190500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714375" cy="8096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47625</xdr:colOff>
      <xdr:row>55</xdr:row>
      <xdr:rowOff>66675</xdr:rowOff>
    </xdr:from>
    <xdr:to>
      <xdr:col>9</xdr:col>
      <xdr:colOff>9525</xdr:colOff>
      <xdr:row>61</xdr:row>
      <xdr:rowOff>123825</xdr:rowOff>
    </xdr:to>
    <xdr:pic>
      <xdr:nvPicPr>
        <xdr:cNvPr id="2" name="Picture 14" descr="secretariat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1687175"/>
          <a:ext cx="34671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N26"/>
  <sheetViews>
    <sheetView showOutlineSymbols="0" zoomScale="120" zoomScaleNormal="120" zoomScalePageLayoutView="0" workbookViewId="0" topLeftCell="B1">
      <selection activeCell="D1" sqref="D1"/>
    </sheetView>
  </sheetViews>
  <sheetFormatPr defaultColWidth="9.6640625" defaultRowHeight="15"/>
  <cols>
    <col min="1" max="1" width="8.99609375" style="0" customWidth="1"/>
    <col min="2" max="2" width="14.3359375" style="0" customWidth="1"/>
    <col min="3" max="3" width="13.6640625" style="0" customWidth="1"/>
    <col min="4" max="6" width="11.6640625" style="0" customWidth="1"/>
    <col min="7" max="7" width="10.5546875" style="0" customWidth="1"/>
    <col min="8" max="8" width="22.6640625" style="0" customWidth="1"/>
    <col min="9" max="9" width="13.21484375" style="0" customWidth="1"/>
    <col min="10" max="10" width="5.6640625" style="0" customWidth="1"/>
  </cols>
  <sheetData>
    <row r="1" spans="1:8" ht="15">
      <c r="A1" s="144" t="s">
        <v>37</v>
      </c>
      <c r="B1" s="145"/>
      <c r="C1" s="145"/>
      <c r="D1" s="145"/>
      <c r="E1" s="145"/>
      <c r="F1" s="145"/>
      <c r="G1" s="145"/>
      <c r="H1" s="146"/>
    </row>
    <row r="2" spans="1:8" ht="15">
      <c r="A2" s="165"/>
      <c r="B2" s="180" t="s">
        <v>95</v>
      </c>
      <c r="C2" s="275" t="s">
        <v>133</v>
      </c>
      <c r="D2" s="276"/>
      <c r="E2" s="276"/>
      <c r="F2" s="277"/>
      <c r="G2" s="165"/>
      <c r="H2" s="166"/>
    </row>
    <row r="3" spans="1:8" ht="15">
      <c r="A3" s="165"/>
      <c r="B3" s="180" t="s">
        <v>96</v>
      </c>
      <c r="C3" s="278" t="s">
        <v>154</v>
      </c>
      <c r="D3" s="279"/>
      <c r="E3" s="219" t="s">
        <v>130</v>
      </c>
      <c r="F3" s="220"/>
      <c r="G3" s="165"/>
      <c r="H3" s="166"/>
    </row>
    <row r="4" spans="1:8" ht="15.75" thickBot="1">
      <c r="A4" s="165"/>
      <c r="B4" s="180" t="s">
        <v>97</v>
      </c>
      <c r="C4" s="139" t="s">
        <v>137</v>
      </c>
      <c r="D4" s="140"/>
      <c r="E4" s="165"/>
      <c r="F4" s="165"/>
      <c r="G4" s="165"/>
      <c r="H4" s="166"/>
    </row>
    <row r="5" spans="1:8" ht="16.5" thickTop="1">
      <c r="A5" s="165"/>
      <c r="B5" s="180" t="s">
        <v>98</v>
      </c>
      <c r="C5" s="142">
        <v>25</v>
      </c>
      <c r="D5" s="218" t="s">
        <v>9</v>
      </c>
      <c r="E5" s="217" t="s">
        <v>77</v>
      </c>
      <c r="F5" s="117"/>
      <c r="G5" s="118"/>
      <c r="H5" s="166"/>
    </row>
    <row r="6" spans="1:8" ht="15.75">
      <c r="A6" s="165"/>
      <c r="B6" s="180" t="s">
        <v>99</v>
      </c>
      <c r="C6" s="139" t="s">
        <v>155</v>
      </c>
      <c r="D6" s="140"/>
      <c r="E6" s="141" t="s">
        <v>78</v>
      </c>
      <c r="F6" s="119"/>
      <c r="G6" s="120"/>
      <c r="H6" s="166"/>
    </row>
    <row r="7" spans="1:8" ht="15.75">
      <c r="A7" s="165"/>
      <c r="B7" s="180" t="s">
        <v>100</v>
      </c>
      <c r="C7" s="278" t="s">
        <v>142</v>
      </c>
      <c r="D7" s="279"/>
      <c r="E7" s="141" t="s">
        <v>79</v>
      </c>
      <c r="F7" s="113"/>
      <c r="G7" s="120"/>
      <c r="H7" s="166"/>
    </row>
    <row r="8" spans="1:8" ht="16.5" thickBot="1">
      <c r="A8" s="165"/>
      <c r="B8" s="180" t="s">
        <v>101</v>
      </c>
      <c r="C8" s="272" t="s">
        <v>143</v>
      </c>
      <c r="D8" s="140"/>
      <c r="E8" s="143" t="s">
        <v>80</v>
      </c>
      <c r="F8" s="121"/>
      <c r="G8" s="122"/>
      <c r="H8" s="166"/>
    </row>
    <row r="9" spans="1:8" ht="15.75" thickTop="1">
      <c r="A9" s="165"/>
      <c r="B9" s="180" t="s">
        <v>102</v>
      </c>
      <c r="C9" s="271">
        <v>40223</v>
      </c>
      <c r="D9" s="140"/>
      <c r="E9" s="165"/>
      <c r="F9" s="165"/>
      <c r="G9" s="165"/>
      <c r="H9" s="166"/>
    </row>
    <row r="10" spans="1:8" ht="15.75">
      <c r="A10" s="165"/>
      <c r="B10" s="180" t="s">
        <v>131</v>
      </c>
      <c r="C10" s="273" t="s">
        <v>156</v>
      </c>
      <c r="D10" s="140"/>
      <c r="E10" s="165"/>
      <c r="F10" s="167"/>
      <c r="G10" s="165"/>
      <c r="H10" s="167"/>
    </row>
    <row r="11" spans="1:8" ht="10.5" customHeight="1" thickBot="1">
      <c r="A11" s="165"/>
      <c r="B11" s="165"/>
      <c r="C11" s="165"/>
      <c r="D11" s="165"/>
      <c r="E11" s="165"/>
      <c r="F11" s="165"/>
      <c r="G11" s="165"/>
      <c r="H11" s="166"/>
    </row>
    <row r="12" spans="1:10" ht="15.75">
      <c r="A12" s="21" t="s">
        <v>3</v>
      </c>
      <c r="B12" s="22" t="s">
        <v>4</v>
      </c>
      <c r="C12" s="23" t="s">
        <v>5</v>
      </c>
      <c r="D12" s="23" t="s">
        <v>6</v>
      </c>
      <c r="E12" s="23" t="s">
        <v>7</v>
      </c>
      <c r="F12" s="222" t="s">
        <v>132</v>
      </c>
      <c r="G12" s="168"/>
      <c r="H12" s="174" t="s">
        <v>52</v>
      </c>
      <c r="I12" s="28" t="s">
        <v>51</v>
      </c>
      <c r="J12" s="28"/>
    </row>
    <row r="13" spans="1:14" ht="21" customHeight="1">
      <c r="A13" s="24">
        <v>1</v>
      </c>
      <c r="B13" s="115" t="s">
        <v>144</v>
      </c>
      <c r="C13" s="115" t="s">
        <v>145</v>
      </c>
      <c r="D13" s="115" t="s">
        <v>138</v>
      </c>
      <c r="E13" s="115" t="s">
        <v>146</v>
      </c>
      <c r="F13" s="265">
        <v>0.344</v>
      </c>
      <c r="G13" s="168"/>
      <c r="H13" s="175">
        <v>1</v>
      </c>
      <c r="I13" s="28" t="str">
        <f>NOM1</f>
        <v>BORTOLOTTO</v>
      </c>
      <c r="J13" s="28">
        <v>1</v>
      </c>
      <c r="K13" t="str">
        <f>VLOOKUP($I13,init,2,FALSE)</f>
        <v>Roland</v>
      </c>
      <c r="L13" t="str">
        <f>VLOOKUP($I13,init,3,FALSE)</f>
        <v>St-Gaudens</v>
      </c>
      <c r="M13" t="str">
        <f>VLOOKUP($I13,init,4,FALSE)</f>
        <v>105243-V</v>
      </c>
      <c r="N13">
        <f>VLOOKUP($I13,init,5,FALSE)</f>
        <v>0.344</v>
      </c>
    </row>
    <row r="14" spans="1:14" ht="21" customHeight="1">
      <c r="A14" s="24">
        <v>2</v>
      </c>
      <c r="B14" s="115" t="s">
        <v>139</v>
      </c>
      <c r="C14" s="115" t="s">
        <v>140</v>
      </c>
      <c r="D14" s="115" t="s">
        <v>138</v>
      </c>
      <c r="E14" s="115" t="s">
        <v>147</v>
      </c>
      <c r="F14" s="265">
        <v>0.294</v>
      </c>
      <c r="G14" s="168"/>
      <c r="H14" s="175">
        <v>2</v>
      </c>
      <c r="I14" s="28" t="str">
        <f>NOM2</f>
        <v>BRUNET</v>
      </c>
      <c r="J14" s="28">
        <v>2</v>
      </c>
      <c r="K14" t="str">
        <f>VLOOKUP($I14,init,2,FALSE)</f>
        <v>Christian</v>
      </c>
      <c r="L14" t="str">
        <f>VLOOKUP($I14,init,3,FALSE)</f>
        <v>St-Gaudens</v>
      </c>
      <c r="M14" t="str">
        <f>VLOOKUP($I14,init,4,FALSE)</f>
        <v>109368-M</v>
      </c>
      <c r="N14">
        <f>VLOOKUP($I14,init,5,FALSE)</f>
        <v>0.294</v>
      </c>
    </row>
    <row r="15" spans="1:14" ht="21" customHeight="1">
      <c r="A15" s="24">
        <v>3</v>
      </c>
      <c r="B15" s="115" t="s">
        <v>148</v>
      </c>
      <c r="C15" s="115" t="s">
        <v>149</v>
      </c>
      <c r="D15" s="115" t="s">
        <v>138</v>
      </c>
      <c r="E15" s="115" t="s">
        <v>150</v>
      </c>
      <c r="F15" s="265">
        <v>0.259</v>
      </c>
      <c r="G15" s="168"/>
      <c r="H15" s="175">
        <v>3</v>
      </c>
      <c r="I15" s="28" t="str">
        <f>NOM3</f>
        <v>GRISAT</v>
      </c>
      <c r="J15" s="28">
        <v>3</v>
      </c>
      <c r="K15" t="str">
        <f>VLOOKUP($I15,init,2,FALSE)</f>
        <v>Daniel</v>
      </c>
      <c r="L15" t="str">
        <f>VLOOKUP($I15,init,3,FALSE)</f>
        <v>St-Gaudens</v>
      </c>
      <c r="M15" t="str">
        <f>VLOOKUP($I15,init,4,FALSE)</f>
        <v>109360-E</v>
      </c>
      <c r="N15">
        <f>VLOOKUP($I15,init,5,FALSE)</f>
        <v>0.259</v>
      </c>
    </row>
    <row r="16" spans="1:14" ht="21" customHeight="1" thickBot="1">
      <c r="A16" s="25">
        <v>4</v>
      </c>
      <c r="B16" s="116" t="s">
        <v>151</v>
      </c>
      <c r="C16" s="116" t="s">
        <v>152</v>
      </c>
      <c r="D16" s="116" t="s">
        <v>138</v>
      </c>
      <c r="E16" s="116" t="s">
        <v>153</v>
      </c>
      <c r="F16" s="266" t="s">
        <v>141</v>
      </c>
      <c r="G16" s="168"/>
      <c r="H16" s="175">
        <v>4</v>
      </c>
      <c r="I16" s="28" t="str">
        <f>NOM4</f>
        <v>DHUBERT</v>
      </c>
      <c r="J16" s="28">
        <v>4</v>
      </c>
      <c r="K16" t="str">
        <f>VLOOKUP($I16,init,2,FALSE)</f>
        <v>Jean Pierre</v>
      </c>
      <c r="L16" t="str">
        <f>VLOOKUP($I16,init,3,FALSE)</f>
        <v>St-Gaudens</v>
      </c>
      <c r="M16" t="str">
        <f>VLOOKUP($I16,init,4,FALSE)</f>
        <v>106976-M</v>
      </c>
      <c r="N16" t="str">
        <f>VLOOKUP($I16,init,5,FALSE)</f>
        <v> </v>
      </c>
    </row>
    <row r="17" spans="1:8" ht="15">
      <c r="A17" s="168"/>
      <c r="B17" s="166"/>
      <c r="C17" s="168"/>
      <c r="D17" s="168"/>
      <c r="E17" s="168"/>
      <c r="F17" s="168"/>
      <c r="G17" s="165"/>
      <c r="H17" s="166"/>
    </row>
    <row r="18" spans="1:8" ht="15">
      <c r="A18" s="166"/>
      <c r="B18" s="171" t="s">
        <v>88</v>
      </c>
      <c r="C18" s="166"/>
      <c r="D18" s="166"/>
      <c r="E18" s="166"/>
      <c r="F18" s="166"/>
      <c r="G18" s="166"/>
      <c r="H18" s="166"/>
    </row>
    <row r="19" spans="1:8" ht="15">
      <c r="A19" s="166"/>
      <c r="B19" s="166"/>
      <c r="C19" s="166"/>
      <c r="D19" s="166"/>
      <c r="E19" s="166"/>
      <c r="F19" s="166"/>
      <c r="G19" s="166"/>
      <c r="H19" s="166"/>
    </row>
    <row r="20" spans="1:9" ht="15">
      <c r="A20" s="166"/>
      <c r="B20" s="166"/>
      <c r="C20" s="166"/>
      <c r="D20" s="166"/>
      <c r="E20" s="166"/>
      <c r="F20" s="166"/>
      <c r="G20" s="169"/>
      <c r="H20" s="166"/>
      <c r="I20" s="123"/>
    </row>
    <row r="21" spans="1:9" ht="89.25" customHeight="1">
      <c r="A21" s="166"/>
      <c r="B21" s="172"/>
      <c r="C21" s="172"/>
      <c r="D21" s="172"/>
      <c r="E21" s="172"/>
      <c r="F21" s="173"/>
      <c r="G21" s="170"/>
      <c r="H21" s="166"/>
      <c r="I21" s="124"/>
    </row>
    <row r="22" spans="2:9" ht="18">
      <c r="B22" s="125"/>
      <c r="C22" s="125"/>
      <c r="D22" s="125"/>
      <c r="E22" s="125"/>
      <c r="F22" s="128"/>
      <c r="G22" s="126"/>
      <c r="I22" s="126"/>
    </row>
    <row r="23" spans="2:9" ht="18">
      <c r="B23" s="125"/>
      <c r="C23" s="125"/>
      <c r="D23" s="125"/>
      <c r="E23" s="125"/>
      <c r="F23" s="128"/>
      <c r="G23" s="124"/>
      <c r="I23" s="124"/>
    </row>
    <row r="24" spans="2:9" ht="18">
      <c r="B24" s="125"/>
      <c r="C24" s="125"/>
      <c r="D24" s="125"/>
      <c r="E24" s="125"/>
      <c r="F24" s="127"/>
      <c r="G24" s="126"/>
      <c r="I24" s="126"/>
    </row>
    <row r="25" spans="7:9" ht="15">
      <c r="G25" s="124"/>
      <c r="I25" s="124"/>
    </row>
    <row r="26" spans="7:9" ht="15">
      <c r="G26" s="126"/>
      <c r="I26" s="126"/>
    </row>
  </sheetData>
  <sheetProtection sheet="1" objects="1" scenarios="1"/>
  <mergeCells count="3">
    <mergeCell ref="C2:F2"/>
    <mergeCell ref="C3:D3"/>
    <mergeCell ref="C7:D7"/>
  </mergeCells>
  <dataValidations count="5">
    <dataValidation type="list" allowBlank="1" showInputMessage="1" showErrorMessage="1" sqref="C4">
      <formula1>"2m80,3m10,1m20,2m40,2m60"</formula1>
    </dataValidation>
    <dataValidation type="list" allowBlank="1" showInputMessage="1" showErrorMessage="1" sqref="C8">
      <formula1>"UNIQUE,ROUSSE ou BLONDE,A,B,C,D,E"</formula1>
    </dataValidation>
    <dataValidation type="list" allowBlank="1" showInputMessage="1" showErrorMessage="1" sqref="C6">
      <formula1>"BOUCHON,3 BANDES,LIBRE,CADRE 42/2,CADRE 47/2,BANDE"</formula1>
    </dataValidation>
    <dataValidation type="list" allowBlank="1" showInputMessage="1" showErrorMessage="1" sqref="C3:D3">
      <formula1>"NATIONALE 1,NATIONALE 2,NATIONALE 3,REGIONALE 1,REGIONALE 2,REGIONALE 3,REGIONALE 4,HANDICAP"</formula1>
    </dataValidation>
    <dataValidation type="list" allowBlank="1" showInputMessage="1" showErrorMessage="1" sqref="C7:D7">
      <formula1>"DU QUARTIER,RANKING,TOURNOI,CLASSEMENT,SOUS-DISTRICT,DISTRICT,DEMI-LIGUE,LIGUE,SECTEUR"</formula1>
    </dataValidation>
  </dataValidations>
  <printOptions horizontalCentered="1" verticalCentered="1"/>
  <pageMargins left="0.12569444444444444" right="0.45902777777777776" top="0.15694444444444444" bottom="0.4583333333333333" header="0.4921259845" footer="0.4921259845"/>
  <pageSetup horizontalDpi="300" verticalDpi="300" orientation="landscape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H86"/>
  <sheetViews>
    <sheetView showGridLines="0" showOutlineSymbols="0" zoomScalePageLayoutView="0" workbookViewId="0" topLeftCell="A1">
      <pane ySplit="5" topLeftCell="A12" activePane="bottomLeft" state="frozen"/>
      <selection pane="topLeft" activeCell="A1" sqref="A1"/>
      <selection pane="bottomLeft" activeCell="N20" sqref="N20"/>
    </sheetView>
  </sheetViews>
  <sheetFormatPr defaultColWidth="9.6640625" defaultRowHeight="15"/>
  <cols>
    <col min="1" max="1" width="3.21484375" style="0" bestFit="1" customWidth="1"/>
    <col min="2" max="2" width="3.6640625" style="0" customWidth="1"/>
    <col min="3" max="10" width="7.6640625" style="0" customWidth="1"/>
    <col min="11" max="11" width="8.99609375" style="0" customWidth="1"/>
    <col min="12" max="12" width="3.77734375" style="0" customWidth="1"/>
    <col min="13" max="13" width="3.21484375" style="0" bestFit="1" customWidth="1"/>
    <col min="14" max="14" width="25.5546875" style="0" customWidth="1"/>
    <col min="15" max="15" width="5.21484375" style="0" customWidth="1"/>
    <col min="16" max="16" width="14.77734375" style="0" customWidth="1"/>
    <col min="17" max="18" width="6.99609375" style="0" customWidth="1"/>
    <col min="19" max="20" width="6.10546875" style="0" customWidth="1"/>
    <col min="21" max="21" width="6.99609375" style="0" customWidth="1"/>
    <col min="22" max="22" width="6.3359375" style="0" customWidth="1"/>
    <col min="23" max="23" width="13.6640625" style="0" customWidth="1"/>
    <col min="24" max="24" width="6.3359375" style="0" customWidth="1"/>
    <col min="25" max="25" width="14.99609375" style="0" customWidth="1"/>
    <col min="26" max="26" width="4.77734375" style="0" customWidth="1"/>
    <col min="27" max="27" width="5.6640625" style="0" customWidth="1"/>
    <col min="28" max="29" width="6.5546875" style="0" customWidth="1"/>
    <col min="30" max="30" width="7.4453125" style="0" customWidth="1"/>
    <col min="31" max="31" width="6.99609375" style="0" customWidth="1"/>
    <col min="32" max="32" width="6.5546875" style="0" customWidth="1"/>
    <col min="33" max="33" width="13.6640625" style="0" customWidth="1"/>
    <col min="34" max="34" width="12.10546875" style="0" customWidth="1"/>
  </cols>
  <sheetData>
    <row r="1" spans="1:13" ht="14.25" customHeight="1" thickBot="1">
      <c r="A1" s="283"/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</row>
    <row r="2" spans="1:13" ht="15">
      <c r="A2" s="280" t="s">
        <v>76</v>
      </c>
      <c r="B2" s="95"/>
      <c r="C2" s="97"/>
      <c r="D2" s="97"/>
      <c r="E2" s="97"/>
      <c r="F2" s="97"/>
      <c r="G2" s="93"/>
      <c r="H2" s="103" t="s">
        <v>72</v>
      </c>
      <c r="I2" s="181" t="str">
        <f>NOB1</f>
        <v>BORTOLOTTO</v>
      </c>
      <c r="J2" s="92"/>
      <c r="K2" s="110"/>
      <c r="L2" s="110"/>
      <c r="M2" s="284" t="s">
        <v>76</v>
      </c>
    </row>
    <row r="3" spans="1:13" ht="15">
      <c r="A3" s="281"/>
      <c r="B3" s="96"/>
      <c r="C3" s="98"/>
      <c r="D3" s="98"/>
      <c r="E3" s="98"/>
      <c r="F3" s="98"/>
      <c r="G3" s="94"/>
      <c r="H3" s="104" t="s">
        <v>73</v>
      </c>
      <c r="I3" s="182" t="str">
        <f>NOB2</f>
        <v>BRUNET</v>
      </c>
      <c r="J3" s="91"/>
      <c r="K3" s="112"/>
      <c r="L3" s="113"/>
      <c r="M3" s="285"/>
    </row>
    <row r="4" spans="1:13" ht="14.25" customHeight="1">
      <c r="A4" s="281"/>
      <c r="B4" s="96"/>
      <c r="C4" s="98"/>
      <c r="D4" s="98"/>
      <c r="E4" s="98"/>
      <c r="F4" s="98"/>
      <c r="G4" s="94"/>
      <c r="H4" s="104" t="s">
        <v>74</v>
      </c>
      <c r="I4" s="182" t="str">
        <f>NOB3</f>
        <v>GRISAT</v>
      </c>
      <c r="J4" s="91"/>
      <c r="K4" s="112"/>
      <c r="L4" s="113"/>
      <c r="M4" s="285"/>
    </row>
    <row r="5" spans="1:13" ht="14.25" customHeight="1" thickBot="1">
      <c r="A5" s="282"/>
      <c r="B5" s="99"/>
      <c r="C5" s="100"/>
      <c r="D5" s="100"/>
      <c r="E5" s="100"/>
      <c r="F5" s="100"/>
      <c r="G5" s="101"/>
      <c r="H5" s="105" t="s">
        <v>75</v>
      </c>
      <c r="I5" s="183" t="str">
        <f>NOB4</f>
        <v>DHUBERT</v>
      </c>
      <c r="J5" s="102"/>
      <c r="K5" s="111"/>
      <c r="L5" s="111"/>
      <c r="M5" s="286"/>
    </row>
    <row r="6" spans="2:34" ht="30">
      <c r="B6" s="292" t="s">
        <v>82</v>
      </c>
      <c r="C6" s="292"/>
      <c r="D6" s="292"/>
      <c r="E6" s="292"/>
      <c r="F6" s="292"/>
      <c r="G6" s="292"/>
      <c r="H6" s="292"/>
      <c r="I6" s="292"/>
      <c r="J6" s="292"/>
      <c r="K6" s="292"/>
      <c r="L6" s="292"/>
      <c r="O6" s="26">
        <v>1</v>
      </c>
      <c r="P6" s="26">
        <v>2</v>
      </c>
      <c r="Q6" s="26">
        <v>3</v>
      </c>
      <c r="R6" s="26">
        <v>4</v>
      </c>
      <c r="S6" s="26">
        <v>5</v>
      </c>
      <c r="T6" s="26">
        <v>6</v>
      </c>
      <c r="U6" s="26">
        <v>7</v>
      </c>
      <c r="V6" s="26">
        <v>8</v>
      </c>
      <c r="W6" s="26">
        <v>9</v>
      </c>
      <c r="X6" s="26">
        <v>10</v>
      </c>
      <c r="Y6" s="26">
        <v>11</v>
      </c>
      <c r="Z6" s="26">
        <v>12</v>
      </c>
      <c r="AA6" s="26">
        <v>13</v>
      </c>
      <c r="AB6" s="26">
        <v>14</v>
      </c>
      <c r="AC6" s="26">
        <v>15</v>
      </c>
      <c r="AD6" s="26">
        <v>16</v>
      </c>
      <c r="AE6" s="26">
        <v>17</v>
      </c>
      <c r="AF6" s="26">
        <v>18</v>
      </c>
      <c r="AG6" s="26">
        <v>19</v>
      </c>
      <c r="AH6" s="26">
        <v>20</v>
      </c>
    </row>
    <row r="7" spans="2:34" ht="15" customHeight="1" thickBo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</row>
    <row r="8" spans="2:34" ht="19.5" customHeight="1">
      <c r="B8" s="1"/>
      <c r="C8" s="150"/>
      <c r="D8" s="151" t="s">
        <v>89</v>
      </c>
      <c r="E8" s="152"/>
      <c r="F8" s="152"/>
      <c r="G8" s="152"/>
      <c r="H8" s="152"/>
      <c r="I8" s="153"/>
      <c r="J8" s="152"/>
      <c r="K8" s="154"/>
      <c r="L8" s="8"/>
      <c r="O8" s="29" t="s">
        <v>39</v>
      </c>
      <c r="P8" s="29" t="s">
        <v>38</v>
      </c>
      <c r="Q8" s="29" t="s">
        <v>23</v>
      </c>
      <c r="R8" s="29" t="s">
        <v>9</v>
      </c>
      <c r="S8" s="29" t="s">
        <v>40</v>
      </c>
      <c r="T8" s="32" t="s">
        <v>43</v>
      </c>
      <c r="U8" s="29" t="s">
        <v>10</v>
      </c>
      <c r="V8" s="29" t="s">
        <v>41</v>
      </c>
      <c r="W8" s="29" t="s">
        <v>55</v>
      </c>
      <c r="X8" s="30" t="s">
        <v>39</v>
      </c>
      <c r="Y8" s="31" t="s">
        <v>38</v>
      </c>
      <c r="Z8" s="31" t="s">
        <v>23</v>
      </c>
      <c r="AA8" s="31" t="s">
        <v>9</v>
      </c>
      <c r="AB8" s="31" t="s">
        <v>40</v>
      </c>
      <c r="AC8" s="32" t="s">
        <v>43</v>
      </c>
      <c r="AD8" s="31" t="s">
        <v>14</v>
      </c>
      <c r="AE8" s="31" t="s">
        <v>10</v>
      </c>
      <c r="AF8" s="31" t="s">
        <v>41</v>
      </c>
      <c r="AG8" s="31" t="s">
        <v>42</v>
      </c>
      <c r="AH8" s="29" t="s">
        <v>55</v>
      </c>
    </row>
    <row r="9" spans="1:34" ht="24" customHeight="1">
      <c r="A9" s="177">
        <v>1</v>
      </c>
      <c r="B9" s="45">
        <v>1</v>
      </c>
      <c r="C9" s="287" t="str">
        <f>NOB1</f>
        <v>BORTOLOTTO</v>
      </c>
      <c r="D9" s="288"/>
      <c r="E9" s="288"/>
      <c r="F9" s="288"/>
      <c r="G9" s="14"/>
      <c r="H9" s="293" t="str">
        <f>NOB4</f>
        <v>DHUBERT</v>
      </c>
      <c r="I9" s="294"/>
      <c r="J9" s="294"/>
      <c r="K9" s="295"/>
      <c r="L9" s="8"/>
      <c r="M9" s="178">
        <v>4</v>
      </c>
      <c r="O9" s="32">
        <v>1</v>
      </c>
      <c r="P9" s="33" t="str">
        <f>$C9</f>
        <v>BORTOLOTTO</v>
      </c>
      <c r="Q9" s="34">
        <f aca="true" t="shared" si="0" ref="Q9:Q14">VLOOKUP(P9,pos,2,FALSE)</f>
        <v>1</v>
      </c>
      <c r="R9" s="32">
        <f>IF(C11=0,"",C11)</f>
        <v>25</v>
      </c>
      <c r="S9" s="32">
        <f>IF(G11=0,"",G11)</f>
        <v>67</v>
      </c>
      <c r="T9" s="35" t="str">
        <f>IF($R9&gt;$AA9,"V1",IF($R9=$AA9,IF($U9&gt;$AE9,"V1",IF($U9=$AE9,"V1","P1")),"P1"))</f>
        <v>V1</v>
      </c>
      <c r="U9" s="32">
        <f>IF(E11=0,"",E11)</f>
        <v>2</v>
      </c>
      <c r="V9" s="32">
        <f>F11</f>
        <v>2</v>
      </c>
      <c r="W9" s="34">
        <f>IF(T9="V1",3,4)</f>
        <v>3</v>
      </c>
      <c r="X9" s="36">
        <v>1</v>
      </c>
      <c r="Y9" s="33" t="str">
        <f>$H9</f>
        <v>DHUBERT</v>
      </c>
      <c r="Z9" s="34">
        <f aca="true" t="shared" si="1" ref="Z9:Z14">VLOOKUP(Y9,pos,2,FALSE)</f>
        <v>4</v>
      </c>
      <c r="AA9" s="32">
        <f>IF(H11=0,"",H11)</f>
        <v>12</v>
      </c>
      <c r="AB9" s="32">
        <f>IF(G11=0,"",G11)</f>
        <v>67</v>
      </c>
      <c r="AC9" s="35" t="str">
        <f>IF($R9&lt;$AA9,"V1",IF($R9=$AA9,IF($U9&lt;$AE9,"V1",IF($U9=$AE9,"P1","P1")),"P1"))</f>
        <v>P1</v>
      </c>
      <c r="AD9" s="35">
        <f>I11</f>
        <v>0.1791044776119403</v>
      </c>
      <c r="AE9" s="32">
        <f>IF(J11=0,"",J11)</f>
        <v>2</v>
      </c>
      <c r="AF9" s="32">
        <f>K11</f>
        <v>0</v>
      </c>
      <c r="AG9" s="33" t="str">
        <f>$C9</f>
        <v>BORTOLOTTO</v>
      </c>
      <c r="AH9" s="34">
        <f>IF(AC9="V1",3,4)</f>
        <v>4</v>
      </c>
    </row>
    <row r="10" spans="1:34" ht="15.75" customHeight="1">
      <c r="A10" s="177"/>
      <c r="B10" s="1"/>
      <c r="C10" s="10" t="s">
        <v>9</v>
      </c>
      <c r="D10" s="11" t="s">
        <v>8</v>
      </c>
      <c r="E10" s="12" t="s">
        <v>10</v>
      </c>
      <c r="F10" s="12" t="s">
        <v>11</v>
      </c>
      <c r="G10" s="15" t="s">
        <v>12</v>
      </c>
      <c r="H10" s="12" t="s">
        <v>9</v>
      </c>
      <c r="I10" s="11" t="s">
        <v>8</v>
      </c>
      <c r="J10" s="12" t="s">
        <v>10</v>
      </c>
      <c r="K10" s="13" t="s">
        <v>11</v>
      </c>
      <c r="L10" s="8"/>
      <c r="M10" s="178"/>
      <c r="O10" s="32">
        <v>2</v>
      </c>
      <c r="P10" s="33" t="str">
        <f>$C14</f>
        <v>BRUNET</v>
      </c>
      <c r="Q10" s="34">
        <f t="shared" si="0"/>
        <v>2</v>
      </c>
      <c r="R10" s="32">
        <f>IF(C16=0,"",C16)</f>
        <v>25</v>
      </c>
      <c r="S10" s="32">
        <f>IF(G16=0,"",G16)</f>
        <v>54</v>
      </c>
      <c r="T10" s="35" t="str">
        <f>IF($R10&gt;$AA10,"V2",IF($R10=$AA10,IF($U10&gt;$AE10,"V2",IF($U10=$AE10,"V2","P2")),"P2"))</f>
        <v>V2</v>
      </c>
      <c r="U10" s="32">
        <f>IF(E16=0,"",E16)</f>
        <v>4</v>
      </c>
      <c r="V10" s="32">
        <f>F16</f>
        <v>2</v>
      </c>
      <c r="W10" s="34">
        <f>IF(T10="V2",3,4)</f>
        <v>3</v>
      </c>
      <c r="X10" s="36">
        <v>2</v>
      </c>
      <c r="Y10" s="33" t="str">
        <f>$H14</f>
        <v>GRISAT</v>
      </c>
      <c r="Z10" s="34">
        <f t="shared" si="1"/>
        <v>3</v>
      </c>
      <c r="AA10" s="32">
        <f>IF(H16=0,"",H16)</f>
        <v>23</v>
      </c>
      <c r="AB10" s="32">
        <f>IF(G16=0,"",G16)</f>
        <v>54</v>
      </c>
      <c r="AC10" s="35" t="str">
        <f>IF($R10&lt;$AA10,"V2",IF($R10=$AA10,IF($U10&lt;$AE10,"V2",IF($U10=$AE10,"P2","P2")),"P2"))</f>
        <v>P2</v>
      </c>
      <c r="AD10" s="35">
        <f>I16</f>
        <v>0.42592592592592593</v>
      </c>
      <c r="AE10" s="32">
        <f>IF(J16=0,"",J16)</f>
        <v>2</v>
      </c>
      <c r="AF10" s="32">
        <f>K16</f>
        <v>0</v>
      </c>
      <c r="AG10" s="33" t="str">
        <f>$C14</f>
        <v>BRUNET</v>
      </c>
      <c r="AH10" s="34">
        <f>IF(AC10="V2",3,4)</f>
        <v>4</v>
      </c>
    </row>
    <row r="11" spans="1:34" ht="22.5" customHeight="1" thickBot="1">
      <c r="A11" s="177"/>
      <c r="B11" s="1"/>
      <c r="C11" s="147">
        <v>25</v>
      </c>
      <c r="D11" s="267">
        <f>IF($G11=0,"",C11/G11)</f>
        <v>0.373134328358209</v>
      </c>
      <c r="E11" s="148">
        <v>2</v>
      </c>
      <c r="F11" s="149">
        <f>IF(G11=0,"",IF(C11&gt;H11,2,IF(C11=H11,1,0)))</f>
        <v>2</v>
      </c>
      <c r="G11" s="16">
        <v>67</v>
      </c>
      <c r="H11" s="147">
        <v>12</v>
      </c>
      <c r="I11" s="267">
        <f>IF($G11=0,"",H11/G11)</f>
        <v>0.1791044776119403</v>
      </c>
      <c r="J11" s="148">
        <v>2</v>
      </c>
      <c r="K11" s="149">
        <f>IF(G11=0,"",IF(H11&gt;C11,2,IF(H11=C11,1,0)))</f>
        <v>0</v>
      </c>
      <c r="L11" s="8"/>
      <c r="M11" s="178"/>
      <c r="O11" s="32">
        <v>3</v>
      </c>
      <c r="P11" s="33" t="str">
        <f>$C21</f>
        <v>BORTOLOTTO</v>
      </c>
      <c r="Q11" s="34">
        <f t="shared" si="0"/>
        <v>1</v>
      </c>
      <c r="R11" s="32">
        <f>IF(C23=0,"",C23)</f>
        <v>17</v>
      </c>
      <c r="S11" s="32">
        <f>IF(G23=0,"",G23)</f>
        <v>66</v>
      </c>
      <c r="T11" s="35" t="str">
        <f>IF($R11&gt;$AA11,"V3",IF($R11=$AA11,IF($U11&gt;$AE11,"V3",IF($U11=$AE11,"V3","P3")),"P3"))</f>
        <v>P3</v>
      </c>
      <c r="U11" s="32">
        <f>IF(E23=0,"",E23)</f>
        <v>2</v>
      </c>
      <c r="V11" s="32">
        <f>F23</f>
        <v>0</v>
      </c>
      <c r="W11" s="34">
        <f>IF(Q11=1,5,6)</f>
        <v>5</v>
      </c>
      <c r="X11" s="36">
        <v>3</v>
      </c>
      <c r="Y11" s="33" t="str">
        <f>$H21</f>
        <v>BRUNET</v>
      </c>
      <c r="Z11" s="34">
        <f t="shared" si="1"/>
        <v>2</v>
      </c>
      <c r="AA11" s="32">
        <f>IF(H23=0,"",H23)</f>
        <v>25</v>
      </c>
      <c r="AB11" s="32">
        <f>IF(G23=0,"",G23)</f>
        <v>66</v>
      </c>
      <c r="AC11" s="35" t="str">
        <f>IF($R11&lt;$AA11,"V3",IF($R11=$AA11,IF($U11&lt;$AE11,"V3",IF($U11=$AE11,"P3","P3")),"P3"))</f>
        <v>V3</v>
      </c>
      <c r="AD11" s="35">
        <f>I23</f>
        <v>0.3787878787878788</v>
      </c>
      <c r="AE11" s="32">
        <f>IF(J23=0,"",J23)</f>
        <v>1</v>
      </c>
      <c r="AF11" s="32">
        <f>K23</f>
        <v>2</v>
      </c>
      <c r="AG11" s="33" t="str">
        <f>$C21</f>
        <v>BORTOLOTTO</v>
      </c>
      <c r="AH11" s="34">
        <f>IF(AG11=NOB1,6,5)</f>
        <v>6</v>
      </c>
    </row>
    <row r="12" spans="1:34" ht="15.75" thickBot="1">
      <c r="A12" s="177"/>
      <c r="B12" s="1"/>
      <c r="C12" s="8"/>
      <c r="D12" s="9"/>
      <c r="E12" s="8"/>
      <c r="F12" s="8"/>
      <c r="G12" s="8"/>
      <c r="H12" s="8"/>
      <c r="I12" s="9"/>
      <c r="J12" s="8"/>
      <c r="K12" s="8"/>
      <c r="L12" s="1"/>
      <c r="M12" s="178"/>
      <c r="O12" s="32">
        <v>4</v>
      </c>
      <c r="P12" s="33" t="str">
        <f>$C26</f>
        <v>DHUBERT</v>
      </c>
      <c r="Q12" s="34">
        <f t="shared" si="0"/>
        <v>4</v>
      </c>
      <c r="R12" s="32">
        <f>IF(C28=0,"",C28)</f>
        <v>20</v>
      </c>
      <c r="S12" s="32">
        <f>IF(G28=0,"",G28)</f>
        <v>91</v>
      </c>
      <c r="T12" s="35" t="str">
        <f>IF($R12&gt;$AA12,"V4",IF($R12=$AA12,IF($U12&gt;$AE12,"V4",IF($U12=$AE12,"V4","P4")),"P4"))</f>
        <v>P4</v>
      </c>
      <c r="U12" s="32">
        <f>IF(E28=0,"",E28)</f>
        <v>10</v>
      </c>
      <c r="V12" s="32">
        <f>F28</f>
        <v>0</v>
      </c>
      <c r="W12" s="34">
        <f>IF(Q12=1,5,6)</f>
        <v>6</v>
      </c>
      <c r="X12" s="36">
        <v>4</v>
      </c>
      <c r="Y12" s="33" t="str">
        <f>$H26</f>
        <v>GRISAT</v>
      </c>
      <c r="Z12" s="34">
        <f t="shared" si="1"/>
        <v>3</v>
      </c>
      <c r="AA12" s="32">
        <f>IF(H28=0,"",H28)</f>
        <v>25</v>
      </c>
      <c r="AB12" s="32">
        <f>IF(G28=0,"",G28)</f>
        <v>91</v>
      </c>
      <c r="AC12" s="35" t="str">
        <f>IF($R12&lt;$AA12,"V4",IF($R12=$AA12,IF($U12&lt;$AE12,"V4",IF($U12=$AE12,"P4","P4")),"P4"))</f>
        <v>V4</v>
      </c>
      <c r="AD12" s="35">
        <f>I28</f>
        <v>0.27472527472527475</v>
      </c>
      <c r="AE12" s="32">
        <f>IF(J28=0,"",J28)</f>
        <v>10</v>
      </c>
      <c r="AF12" s="32">
        <f>K28</f>
        <v>2</v>
      </c>
      <c r="AG12" s="33" t="str">
        <f>$C26</f>
        <v>DHUBERT</v>
      </c>
      <c r="AH12" s="34">
        <f>IF(AG12=NOB1,6,5)</f>
        <v>5</v>
      </c>
    </row>
    <row r="13" spans="1:34" ht="19.5" customHeight="1">
      <c r="A13" s="177"/>
      <c r="B13" s="1"/>
      <c r="C13" s="150"/>
      <c r="D13" s="151" t="s">
        <v>90</v>
      </c>
      <c r="E13" s="152"/>
      <c r="F13" s="152"/>
      <c r="G13" s="152"/>
      <c r="H13" s="152"/>
      <c r="I13" s="153"/>
      <c r="J13" s="152"/>
      <c r="K13" s="154"/>
      <c r="L13" s="8"/>
      <c r="M13" s="178"/>
      <c r="O13" s="32">
        <v>5</v>
      </c>
      <c r="P13" s="33" t="str">
        <f>$C33</f>
        <v>BORTOLOTTO</v>
      </c>
      <c r="Q13" s="34">
        <f t="shared" si="0"/>
        <v>1</v>
      </c>
      <c r="R13" s="32">
        <f>IF(C35=0,"",C35)</f>
        <v>18</v>
      </c>
      <c r="S13" s="32">
        <f>IF(G35=0,"",G35)</f>
        <v>65</v>
      </c>
      <c r="T13" s="35" t="str">
        <f>IF($R13&gt;$AA13,"V5",IF($R13=$AA13,IF($U13&gt;$AE13,"V5",IF($U13=$AE13,"V5","P5")),"P5"))</f>
        <v>P5</v>
      </c>
      <c r="U13" s="32">
        <f>IF(E35=0,"",E35)</f>
        <v>4</v>
      </c>
      <c r="V13" s="32">
        <f>F35</f>
        <v>0</v>
      </c>
      <c r="W13" s="46" t="s">
        <v>56</v>
      </c>
      <c r="X13" s="36">
        <v>5</v>
      </c>
      <c r="Y13" s="33" t="str">
        <f>$H33</f>
        <v>GRISAT</v>
      </c>
      <c r="Z13" s="34">
        <f t="shared" si="1"/>
        <v>3</v>
      </c>
      <c r="AA13" s="32">
        <f>IF(H35=0,"",H35)</f>
        <v>25</v>
      </c>
      <c r="AB13" s="32">
        <f>IF(G35=0,"",G35)</f>
        <v>65</v>
      </c>
      <c r="AC13" s="35" t="str">
        <f>IF($R13&lt;$AA13,"V5",IF($R13=$AA13,IF($U13&lt;$AE13,"V5",IF($U13=$AE13,"P5","P5")),"P5"))</f>
        <v>V5</v>
      </c>
      <c r="AD13" s="35">
        <f>I35</f>
        <v>0.38461538461538464</v>
      </c>
      <c r="AE13" s="32">
        <f>IF(J35=0,"",J35)</f>
        <v>2</v>
      </c>
      <c r="AF13" s="32">
        <f>K35</f>
        <v>2</v>
      </c>
      <c r="AG13" s="33" t="str">
        <f>$C33</f>
        <v>BORTOLOTTO</v>
      </c>
      <c r="AH13" s="46" t="s">
        <v>56</v>
      </c>
    </row>
    <row r="14" spans="1:34" ht="23.25">
      <c r="A14" s="177">
        <v>2</v>
      </c>
      <c r="B14" s="45">
        <v>2</v>
      </c>
      <c r="C14" s="287" t="str">
        <f>NOB2</f>
        <v>BRUNET</v>
      </c>
      <c r="D14" s="288"/>
      <c r="E14" s="288"/>
      <c r="F14" s="288"/>
      <c r="G14" s="14"/>
      <c r="H14" s="293" t="str">
        <f>NOB3</f>
        <v>GRISAT</v>
      </c>
      <c r="I14" s="294"/>
      <c r="J14" s="294"/>
      <c r="K14" s="295"/>
      <c r="L14" s="8"/>
      <c r="M14" s="178">
        <v>3</v>
      </c>
      <c r="O14" s="32">
        <v>6</v>
      </c>
      <c r="P14" s="33" t="str">
        <f>$C38</f>
        <v>DHUBERT</v>
      </c>
      <c r="Q14" s="34">
        <f t="shared" si="0"/>
        <v>4</v>
      </c>
      <c r="R14" s="32">
        <f>IF(C40=0,"",C40)</f>
        <v>22</v>
      </c>
      <c r="S14" s="32">
        <f>IF(G40=0,"",G40)</f>
        <v>57</v>
      </c>
      <c r="T14" s="35" t="str">
        <f>IF($R14&gt;$AA14,"V6",IF($R14=$AA14,IF($U14&gt;$AE14,"V6",IF($U14=$AE14,"V6","P6")),"P6"))</f>
        <v>P6</v>
      </c>
      <c r="U14" s="32">
        <f>IF(E40=0,"",E40)</f>
        <v>2</v>
      </c>
      <c r="V14" s="32">
        <f>F40</f>
        <v>0</v>
      </c>
      <c r="W14" s="46" t="s">
        <v>56</v>
      </c>
      <c r="X14" s="36">
        <v>6</v>
      </c>
      <c r="Y14" s="33" t="str">
        <f>$H38</f>
        <v>BRUNET</v>
      </c>
      <c r="Z14" s="34">
        <f t="shared" si="1"/>
        <v>2</v>
      </c>
      <c r="AA14" s="32">
        <f>IF(H40=0,"",H40)</f>
        <v>25</v>
      </c>
      <c r="AB14" s="32">
        <f>IF(G40=0,"",G40)</f>
        <v>57</v>
      </c>
      <c r="AC14" s="35" t="str">
        <f>IF($R14&lt;$AA14,"V6",IF($R14=$AA14,IF($U14&lt;$AE14,"V6",IF($U14=$AE14,"P6","P6")),"P6"))</f>
        <v>V6</v>
      </c>
      <c r="AD14" s="35">
        <f>I40</f>
        <v>0.43859649122807015</v>
      </c>
      <c r="AE14" s="32">
        <f>IF(J40=0,"",J40)</f>
        <v>2</v>
      </c>
      <c r="AF14" s="32">
        <f>K40</f>
        <v>2</v>
      </c>
      <c r="AG14" s="33" t="str">
        <f>$C38</f>
        <v>DHUBERT</v>
      </c>
      <c r="AH14" s="46" t="s">
        <v>56</v>
      </c>
    </row>
    <row r="15" spans="1:13" ht="16.5" customHeight="1">
      <c r="A15" s="178"/>
      <c r="B15" s="1"/>
      <c r="C15" s="10" t="s">
        <v>9</v>
      </c>
      <c r="D15" s="18" t="s">
        <v>8</v>
      </c>
      <c r="E15" s="12" t="s">
        <v>10</v>
      </c>
      <c r="F15" s="13" t="s">
        <v>11</v>
      </c>
      <c r="G15" s="17" t="s">
        <v>12</v>
      </c>
      <c r="H15" s="10" t="s">
        <v>9</v>
      </c>
      <c r="I15" s="18" t="s">
        <v>8</v>
      </c>
      <c r="J15" s="12" t="s">
        <v>10</v>
      </c>
      <c r="K15" s="13" t="s">
        <v>11</v>
      </c>
      <c r="L15" s="8"/>
      <c r="M15" s="178"/>
    </row>
    <row r="16" spans="1:13" ht="21.75" customHeight="1" thickBot="1">
      <c r="A16" s="178"/>
      <c r="B16" s="1"/>
      <c r="C16" s="147">
        <v>25</v>
      </c>
      <c r="D16" s="267">
        <f>IF($G16=0,"",C16/G16)</f>
        <v>0.46296296296296297</v>
      </c>
      <c r="E16" s="148">
        <v>4</v>
      </c>
      <c r="F16" s="149">
        <f>IF(G16=0,"",IF(C16&gt;H16,2,IF(C16=H16,1,0)))</f>
        <v>2</v>
      </c>
      <c r="G16" s="16">
        <v>54</v>
      </c>
      <c r="H16" s="147">
        <v>23</v>
      </c>
      <c r="I16" s="267">
        <f>IF($G16=0,"",H16/G16)</f>
        <v>0.42592592592592593</v>
      </c>
      <c r="J16" s="148">
        <v>2</v>
      </c>
      <c r="K16" s="149">
        <f>IF(G16=0,"",IF(H16&gt;C16,2,IF(H16=C16,1,0)))</f>
        <v>0</v>
      </c>
      <c r="L16" s="8"/>
      <c r="M16" s="178"/>
    </row>
    <row r="17" spans="1:26" ht="15.75" thickBot="1">
      <c r="A17" s="178"/>
      <c r="B17" s="1"/>
      <c r="C17" s="8"/>
      <c r="D17" s="9"/>
      <c r="E17" s="8"/>
      <c r="F17" s="8"/>
      <c r="G17" s="8"/>
      <c r="H17" s="8"/>
      <c r="I17" s="9"/>
      <c r="J17" s="8"/>
      <c r="K17" s="8"/>
      <c r="L17" s="1"/>
      <c r="M17" s="178"/>
      <c r="N17" s="176"/>
      <c r="O17" s="39"/>
      <c r="P17" s="39" t="s">
        <v>48</v>
      </c>
      <c r="Q17" s="39"/>
      <c r="R17" s="39"/>
      <c r="S17" s="39"/>
      <c r="T17" s="39"/>
      <c r="V17" t="s">
        <v>54</v>
      </c>
      <c r="X17" t="s">
        <v>49</v>
      </c>
      <c r="Y17" s="26" t="s">
        <v>50</v>
      </c>
      <c r="Z17" t="s">
        <v>53</v>
      </c>
    </row>
    <row r="18" spans="1:27" ht="23.25" customHeight="1" thickBot="1" thickTop="1">
      <c r="A18" s="178"/>
      <c r="B18" s="2"/>
      <c r="C18" s="2"/>
      <c r="D18" s="3"/>
      <c r="E18" s="2"/>
      <c r="F18" s="2"/>
      <c r="G18" s="2"/>
      <c r="H18" s="2"/>
      <c r="I18" s="3"/>
      <c r="J18" s="2"/>
      <c r="K18" s="2"/>
      <c r="L18" s="2"/>
      <c r="M18" s="178"/>
      <c r="N18" s="176">
        <v>1</v>
      </c>
      <c r="O18" s="40" t="str">
        <f>VLOOKUP(N18,tours,6,FALSE)</f>
        <v>V1</v>
      </c>
      <c r="P18" s="39" t="str">
        <f>VLOOKUP(N18,tours,2,FALSE)</f>
        <v>BORTOLOTTO</v>
      </c>
      <c r="Q18" s="39"/>
      <c r="R18" s="41" t="str">
        <f>VLOOKUP(N18,tours,11,FALSE)</f>
        <v>DHUBERT</v>
      </c>
      <c r="S18" s="39"/>
      <c r="T18" s="39"/>
      <c r="V18" s="43">
        <v>1</v>
      </c>
      <c r="W18" s="43" t="str">
        <f>VLOOKUP(V18,posdép,2,FALSE)</f>
        <v>BORTOLOTTO</v>
      </c>
      <c r="X18" s="44">
        <v>4</v>
      </c>
      <c r="Y18" s="44">
        <f>IF(VLOOKUP(Z18,tours,2,FALSE)=W18,VLOOKUP(Z18,tours,12,FALSE),IF(VLOOKUP(Z18,tours,11,FALSE)=W18,VLOOKUP(Z18,tours,3,FALSE),IF(VLOOKUP(AA18,tours,2,FALSE)=W18,VLOOKUP(AA18,tours,12,FALSE),IF(VLOOKUP(AA18,tours,11,FALSE)=W18,VLOOKUP(AA18,tours,3,FALSE)))))</f>
        <v>2</v>
      </c>
      <c r="Z18" s="44">
        <v>3</v>
      </c>
      <c r="AA18" s="44">
        <v>4</v>
      </c>
    </row>
    <row r="19" spans="1:27" ht="15" customHeight="1" thickBot="1" thickTop="1">
      <c r="A19" s="178"/>
      <c r="B19" s="2"/>
      <c r="C19" s="2"/>
      <c r="D19" s="3"/>
      <c r="E19" s="2"/>
      <c r="F19" s="2"/>
      <c r="G19" s="2"/>
      <c r="H19" s="2"/>
      <c r="I19" s="3"/>
      <c r="J19" s="2"/>
      <c r="K19" s="2"/>
      <c r="L19" s="2"/>
      <c r="M19" s="178"/>
      <c r="N19" s="176">
        <v>2</v>
      </c>
      <c r="O19" s="40" t="str">
        <f>VLOOKUP(N19,tours,6,FALSE)</f>
        <v>V2</v>
      </c>
      <c r="P19" s="39" t="str">
        <f>VLOOKUP(N19,tours,2,FALSE)</f>
        <v>BRUNET</v>
      </c>
      <c r="Q19" s="39"/>
      <c r="R19" s="41" t="str">
        <f>VLOOKUP(N19,tours,11,FALSE)</f>
        <v>GRISAT</v>
      </c>
      <c r="S19" s="39"/>
      <c r="T19" s="39"/>
      <c r="V19" s="43">
        <v>2</v>
      </c>
      <c r="W19" s="43" t="str">
        <f>VLOOKUP(V19,posdép,2,FALSE)</f>
        <v>BRUNET</v>
      </c>
      <c r="X19" s="44">
        <v>3</v>
      </c>
      <c r="Y19" s="44">
        <f>IF(VLOOKUP(Z19,tours,2,FALSE)=W19,VLOOKUP(Z19,tours,12,FALSE),IF(VLOOKUP(Z19,tours,11,FALSE)=W19,VLOOKUP(Z19,tours,3,FALSE),IF(VLOOKUP(AA19,tours,2,FALSE)=W19,VLOOKUP(AA19,tours,12,FALSE),IF(VLOOKUP(AA19,tours,11,FALSE)=W19,VLOOKUP(AA19,tours,3,FALSE)))))</f>
        <v>1</v>
      </c>
      <c r="Z19" s="44">
        <v>3</v>
      </c>
      <c r="AA19" s="44">
        <v>4</v>
      </c>
    </row>
    <row r="20" spans="1:27" ht="19.5" customHeight="1">
      <c r="A20" s="178"/>
      <c r="B20" s="1"/>
      <c r="C20" s="155"/>
      <c r="D20" s="156" t="s">
        <v>91</v>
      </c>
      <c r="E20" s="157"/>
      <c r="F20" s="157"/>
      <c r="G20" s="157"/>
      <c r="H20" s="157"/>
      <c r="I20" s="158"/>
      <c r="J20" s="157"/>
      <c r="K20" s="159"/>
      <c r="L20" s="8"/>
      <c r="M20" s="178"/>
      <c r="N20" s="176">
        <v>1</v>
      </c>
      <c r="O20" s="40" t="str">
        <f>VLOOKUP(N20,tours,15,FALSE)</f>
        <v>P1</v>
      </c>
      <c r="P20" s="39" t="str">
        <f>VLOOKUP(N20,tours,11,FALSE)</f>
        <v>DHUBERT</v>
      </c>
      <c r="Q20" s="39"/>
      <c r="R20" s="41" t="str">
        <f>VLOOKUP(N20,tours,19,FALSE)</f>
        <v>BORTOLOTTO</v>
      </c>
      <c r="S20" s="40"/>
      <c r="T20" s="42"/>
      <c r="V20" s="43">
        <v>3</v>
      </c>
      <c r="W20" s="43" t="str">
        <f>VLOOKUP(V20,posdép,2,FALSE)</f>
        <v>GRISAT</v>
      </c>
      <c r="X20" s="44">
        <v>2</v>
      </c>
      <c r="Y20" s="44">
        <f>IF(VLOOKUP(Z20,tours,2,FALSE)=W20,VLOOKUP(Z20,tours,12,FALSE),IF(VLOOKUP(Z20,tours,11,FALSE)=W20,VLOOKUP(Z20,tours,3,FALSE),IF(VLOOKUP(AA20,tours,2,FALSE)=W20,VLOOKUP(AA20,tours,12,FALSE),IF(VLOOKUP(AA20,tours,11,FALSE)=W20,VLOOKUP(AA20,tours,3,FALSE)))))</f>
        <v>4</v>
      </c>
      <c r="Z20" s="44">
        <v>3</v>
      </c>
      <c r="AA20" s="44">
        <v>4</v>
      </c>
    </row>
    <row r="21" spans="1:27" ht="23.25">
      <c r="A21" s="178" t="s">
        <v>47</v>
      </c>
      <c r="B21" s="45">
        <v>3</v>
      </c>
      <c r="C21" s="289" t="str">
        <f>IF(G11=0,"Vainqueur 1",IF(F11=2,C9,IF(F11=1,IF(E11&lt;J11,H9,C9),H9)))</f>
        <v>BORTOLOTTO</v>
      </c>
      <c r="D21" s="290"/>
      <c r="E21" s="290"/>
      <c r="F21" s="291"/>
      <c r="G21" s="8"/>
      <c r="H21" s="289" t="str">
        <f>IF(G16=0,"Vainqueur 2",IF(F16=2,C14,IF(F16=1,IF(E16&lt;J16,H14,C14),H14)))</f>
        <v>BRUNET</v>
      </c>
      <c r="I21" s="290"/>
      <c r="J21" s="290"/>
      <c r="K21" s="291"/>
      <c r="L21" s="8"/>
      <c r="M21" s="179" t="s">
        <v>44</v>
      </c>
      <c r="N21" s="176">
        <v>2</v>
      </c>
      <c r="O21" s="40" t="str">
        <f>VLOOKUP(N21,tours,15,FALSE)</f>
        <v>P2</v>
      </c>
      <c r="P21" s="39" t="str">
        <f>VLOOKUP(N21,tours,11,FALSE)</f>
        <v>GRISAT</v>
      </c>
      <c r="Q21" s="39"/>
      <c r="R21" s="41" t="str">
        <f>VLOOKUP(N21,tours,19,FALSE)</f>
        <v>BRUNET</v>
      </c>
      <c r="S21" s="40"/>
      <c r="T21" s="39"/>
      <c r="V21" s="43">
        <v>4</v>
      </c>
      <c r="W21" s="43" t="str">
        <f>VLOOKUP(V21,posdép,2,FALSE)</f>
        <v>DHUBERT</v>
      </c>
      <c r="X21" s="44">
        <v>1</v>
      </c>
      <c r="Y21" s="44">
        <f>IF(VLOOKUP(Z21,tours,2,FALSE)=W21,VLOOKUP(Z21,tours,12,FALSE),IF(VLOOKUP(Z21,tours,11,FALSE)=W21,VLOOKUP(Z21,tours,3,FALSE),IF(VLOOKUP(AA21,tours,2,FALSE)=W21,VLOOKUP(AA21,tours,12,FALSE),IF(VLOOKUP(AA21,tours,11,FALSE)=W21,VLOOKUP(AA21,tours,3,FALSE)))))</f>
        <v>3</v>
      </c>
      <c r="Z21" s="44">
        <v>3</v>
      </c>
      <c r="AA21" s="44">
        <v>4</v>
      </c>
    </row>
    <row r="22" spans="1:27" ht="15.75" customHeight="1">
      <c r="A22" s="178"/>
      <c r="B22" s="45"/>
      <c r="C22" s="10" t="s">
        <v>9</v>
      </c>
      <c r="D22" s="18" t="s">
        <v>8</v>
      </c>
      <c r="E22" s="12" t="s">
        <v>10</v>
      </c>
      <c r="F22" s="13" t="s">
        <v>11</v>
      </c>
      <c r="G22" s="17" t="s">
        <v>12</v>
      </c>
      <c r="H22" s="10" t="s">
        <v>9</v>
      </c>
      <c r="I22" s="18" t="s">
        <v>8</v>
      </c>
      <c r="J22" s="12" t="s">
        <v>10</v>
      </c>
      <c r="K22" s="13" t="s">
        <v>11</v>
      </c>
      <c r="L22" s="8"/>
      <c r="M22" s="178"/>
      <c r="T22" s="27"/>
      <c r="U22" s="27"/>
      <c r="V22" s="26"/>
      <c r="W22" s="26"/>
      <c r="X22" s="26"/>
      <c r="Y22" s="26"/>
      <c r="Z22" s="26"/>
      <c r="AA22" s="26"/>
    </row>
    <row r="23" spans="1:27" ht="21.75" customHeight="1" thickBot="1">
      <c r="A23" s="178"/>
      <c r="B23" s="45"/>
      <c r="C23" s="147">
        <v>17</v>
      </c>
      <c r="D23" s="267">
        <f>IF($G23=0,"",C23/G23)</f>
        <v>0.25757575757575757</v>
      </c>
      <c r="E23" s="148">
        <v>2</v>
      </c>
      <c r="F23" s="149">
        <f>IF(G23=0,"",IF(C23&gt;H23,2,IF(C23=H23,1,0)))</f>
        <v>0</v>
      </c>
      <c r="G23" s="16">
        <v>66</v>
      </c>
      <c r="H23" s="147">
        <v>25</v>
      </c>
      <c r="I23" s="267">
        <f>IF($G23=0,"",H23/G23)</f>
        <v>0.3787878787878788</v>
      </c>
      <c r="J23" s="148">
        <v>1</v>
      </c>
      <c r="K23" s="149">
        <f>IF(G23=0,"",IF(H23&gt;C23,2,IF(H23=C23,1,0)))</f>
        <v>2</v>
      </c>
      <c r="L23" s="8"/>
      <c r="M23" s="178"/>
      <c r="T23" s="27"/>
      <c r="U23" s="27"/>
      <c r="V23" s="26"/>
      <c r="W23" s="26"/>
      <c r="X23" s="26"/>
      <c r="Y23" s="26"/>
      <c r="Z23" s="26"/>
      <c r="AA23" s="26"/>
    </row>
    <row r="24" spans="1:27" ht="18.75" thickBot="1">
      <c r="A24" s="178"/>
      <c r="B24" s="45"/>
      <c r="C24" s="8"/>
      <c r="D24" s="9"/>
      <c r="E24" s="8"/>
      <c r="F24" s="8"/>
      <c r="G24" s="8"/>
      <c r="H24" s="8"/>
      <c r="I24" s="9"/>
      <c r="J24" s="8"/>
      <c r="K24" s="8"/>
      <c r="L24" s="1"/>
      <c r="M24" s="179">
        <v>1</v>
      </c>
      <c r="N24">
        <v>5</v>
      </c>
      <c r="O24" s="26"/>
      <c r="P24" t="str">
        <f>NOB1</f>
        <v>BORTOLOTTO</v>
      </c>
      <c r="R24" s="37" t="str">
        <f>IF(VLOOKUP(P24,tour2,3,FALSE)=2,NOB3,NOB2)</f>
        <v>GRISAT</v>
      </c>
      <c r="S24" s="26"/>
      <c r="T24" s="27"/>
      <c r="U24" s="27"/>
      <c r="V24" s="26"/>
      <c r="W24" s="26"/>
      <c r="X24" s="26"/>
      <c r="Y24" s="26"/>
      <c r="Z24" s="26"/>
      <c r="AA24" s="26"/>
    </row>
    <row r="25" spans="1:27" ht="19.5" customHeight="1">
      <c r="A25" s="178"/>
      <c r="B25" s="45"/>
      <c r="C25" s="155"/>
      <c r="D25" s="156" t="s">
        <v>92</v>
      </c>
      <c r="E25" s="157"/>
      <c r="F25" s="157"/>
      <c r="G25" s="157"/>
      <c r="H25" s="157"/>
      <c r="I25" s="158"/>
      <c r="J25" s="157"/>
      <c r="K25" s="159"/>
      <c r="L25" s="8"/>
      <c r="M25" s="179">
        <v>4</v>
      </c>
      <c r="N25">
        <v>6</v>
      </c>
      <c r="O25" s="26"/>
      <c r="P25" t="str">
        <f>NOB4</f>
        <v>DHUBERT</v>
      </c>
      <c r="R25" s="37" t="str">
        <f>IF(VLOOKUP(P25,tour2,3,FALSE)=2,NOB3,NOB2)</f>
        <v>BRUNET</v>
      </c>
      <c r="S25" s="26"/>
      <c r="T25" s="27"/>
      <c r="U25" s="27"/>
      <c r="V25" s="26"/>
      <c r="W25" s="26"/>
      <c r="X25" s="26"/>
      <c r="Y25" s="26"/>
      <c r="Z25" s="26"/>
      <c r="AA25" s="26"/>
    </row>
    <row r="26" spans="1:18" ht="23.25">
      <c r="A26" s="178" t="s">
        <v>45</v>
      </c>
      <c r="B26" s="45">
        <v>4</v>
      </c>
      <c r="C26" s="289" t="str">
        <f>IF(G11=0,"Perdant 1",IF(C21=C9,H9,C9))</f>
        <v>DHUBERT</v>
      </c>
      <c r="D26" s="290"/>
      <c r="E26" s="290"/>
      <c r="F26" s="291"/>
      <c r="G26" s="19"/>
      <c r="H26" s="289" t="str">
        <f>IF(G16=0,"Perdant 2",IF(H21=C14,H14,C14))</f>
        <v>GRISAT</v>
      </c>
      <c r="I26" s="290"/>
      <c r="J26" s="290"/>
      <c r="K26" s="291"/>
      <c r="L26" s="8"/>
      <c r="M26" s="179" t="s">
        <v>46</v>
      </c>
      <c r="O26" s="26"/>
      <c r="R26" s="37"/>
    </row>
    <row r="27" spans="1:18" ht="16.5" customHeight="1">
      <c r="A27" s="178"/>
      <c r="B27" s="1"/>
      <c r="C27" s="10" t="s">
        <v>9</v>
      </c>
      <c r="D27" s="18" t="s">
        <v>8</v>
      </c>
      <c r="E27" s="12" t="s">
        <v>10</v>
      </c>
      <c r="F27" s="12" t="s">
        <v>11</v>
      </c>
      <c r="G27" s="15" t="s">
        <v>12</v>
      </c>
      <c r="H27" s="12" t="s">
        <v>9</v>
      </c>
      <c r="I27" s="18" t="s">
        <v>8</v>
      </c>
      <c r="J27" s="12" t="s">
        <v>10</v>
      </c>
      <c r="K27" s="13" t="s">
        <v>11</v>
      </c>
      <c r="L27" s="8"/>
      <c r="M27" s="179"/>
      <c r="O27" s="26"/>
      <c r="R27" s="37"/>
    </row>
    <row r="28" spans="1:15" ht="21.75" customHeight="1" thickBot="1">
      <c r="A28" s="178"/>
      <c r="B28" s="1"/>
      <c r="C28" s="147">
        <v>20</v>
      </c>
      <c r="D28" s="267">
        <f>IF($G28=0,"",C28/G28)</f>
        <v>0.21978021978021978</v>
      </c>
      <c r="E28" s="148">
        <v>10</v>
      </c>
      <c r="F28" s="149">
        <f>IF(G28=0,"",IF(C28&gt;H28,2,IF(C28=H28,1,0)))</f>
        <v>0</v>
      </c>
      <c r="G28" s="16">
        <v>91</v>
      </c>
      <c r="H28" s="147">
        <v>25</v>
      </c>
      <c r="I28" s="267">
        <f>IF($G28=0,"",H28/G28)</f>
        <v>0.27472527472527475</v>
      </c>
      <c r="J28" s="148">
        <v>10</v>
      </c>
      <c r="K28" s="149">
        <f>IF(G28=0,"",IF(H28&gt;C28,2,IF(H28=C28,1,0)))</f>
        <v>2</v>
      </c>
      <c r="L28" s="8"/>
      <c r="M28" s="178"/>
      <c r="O28" s="26"/>
    </row>
    <row r="29" spans="1:15" ht="15.75" thickBot="1">
      <c r="A29" s="178"/>
      <c r="B29" s="1"/>
      <c r="C29" s="8"/>
      <c r="D29" s="9"/>
      <c r="E29" s="8"/>
      <c r="F29" s="8"/>
      <c r="G29" s="8"/>
      <c r="H29" s="8"/>
      <c r="I29" s="9"/>
      <c r="J29" s="8"/>
      <c r="K29" s="8"/>
      <c r="L29" s="1"/>
      <c r="M29" s="178"/>
      <c r="O29" s="26"/>
    </row>
    <row r="30" spans="1:13" ht="24" customHeight="1" thickBot="1" thickTop="1">
      <c r="A30" s="178"/>
      <c r="B30" s="2"/>
      <c r="C30" s="2"/>
      <c r="D30" s="3"/>
      <c r="E30" s="2"/>
      <c r="F30" s="2"/>
      <c r="G30" s="2"/>
      <c r="H30" s="2"/>
      <c r="I30" s="3"/>
      <c r="J30" s="2"/>
      <c r="K30" s="2"/>
      <c r="L30" s="2"/>
      <c r="M30" s="178"/>
    </row>
    <row r="31" spans="1:13" ht="16.5" thickBot="1" thickTop="1">
      <c r="A31" s="178"/>
      <c r="B31" s="2"/>
      <c r="C31" s="2"/>
      <c r="D31" s="3"/>
      <c r="E31" s="2"/>
      <c r="F31" s="2"/>
      <c r="G31" s="2"/>
      <c r="H31" s="2"/>
      <c r="I31" s="3"/>
      <c r="J31" s="2"/>
      <c r="K31" s="2"/>
      <c r="L31" s="2"/>
      <c r="M31" s="178"/>
    </row>
    <row r="32" spans="1:13" ht="16.5" customHeight="1">
      <c r="A32" s="178"/>
      <c r="B32" s="1"/>
      <c r="C32" s="160"/>
      <c r="D32" s="161" t="s">
        <v>93</v>
      </c>
      <c r="E32" s="162"/>
      <c r="F32" s="162"/>
      <c r="G32" s="162"/>
      <c r="H32" s="162"/>
      <c r="I32" s="163"/>
      <c r="J32" s="162"/>
      <c r="K32" s="164"/>
      <c r="L32" s="8"/>
      <c r="M32" s="178"/>
    </row>
    <row r="33" spans="1:13" ht="23.25">
      <c r="A33" s="177">
        <v>1</v>
      </c>
      <c r="B33" s="45">
        <v>5</v>
      </c>
      <c r="C33" s="287" t="str">
        <f>NOB1</f>
        <v>BORTOLOTTO</v>
      </c>
      <c r="D33" s="288"/>
      <c r="E33" s="288"/>
      <c r="F33" s="288"/>
      <c r="G33" s="14"/>
      <c r="H33" s="289" t="str">
        <f>IF(G16=0,"dépend du 2ème tour",VLOOKUP(C33,tour3,3,FALSE))</f>
        <v>GRISAT</v>
      </c>
      <c r="I33" s="290"/>
      <c r="J33" s="290"/>
      <c r="K33" s="291"/>
      <c r="L33" s="8"/>
      <c r="M33" s="178"/>
    </row>
    <row r="34" spans="1:13" ht="16.5" customHeight="1">
      <c r="A34" s="177"/>
      <c r="B34" s="45"/>
      <c r="C34" s="10" t="s">
        <v>9</v>
      </c>
      <c r="D34" s="18" t="s">
        <v>8</v>
      </c>
      <c r="E34" s="12" t="s">
        <v>10</v>
      </c>
      <c r="F34" s="12" t="s">
        <v>11</v>
      </c>
      <c r="G34" s="15" t="s">
        <v>12</v>
      </c>
      <c r="H34" s="12" t="s">
        <v>9</v>
      </c>
      <c r="I34" s="18" t="s">
        <v>8</v>
      </c>
      <c r="J34" s="12" t="s">
        <v>10</v>
      </c>
      <c r="K34" s="13" t="s">
        <v>11</v>
      </c>
      <c r="L34" s="8"/>
      <c r="M34" s="178"/>
    </row>
    <row r="35" spans="1:13" ht="21.75" customHeight="1" thickBot="1">
      <c r="A35" s="177"/>
      <c r="B35" s="45"/>
      <c r="C35" s="147">
        <v>18</v>
      </c>
      <c r="D35" s="267">
        <f>IF($G35=0,"",C35/G35)</f>
        <v>0.27692307692307694</v>
      </c>
      <c r="E35" s="148">
        <v>4</v>
      </c>
      <c r="F35" s="149">
        <f>IF(G35=0,"",IF(C35&gt;H35,2,IF(C35=H35,1,0)))</f>
        <v>0</v>
      </c>
      <c r="G35" s="16">
        <v>65</v>
      </c>
      <c r="H35" s="147">
        <v>25</v>
      </c>
      <c r="I35" s="267">
        <f>IF($G35=0,"",H35/G35)</f>
        <v>0.38461538461538464</v>
      </c>
      <c r="J35" s="148">
        <v>2</v>
      </c>
      <c r="K35" s="149">
        <f>IF(G35=0,"",IF(H35&gt;C35,2,IF(H35=C35,1,0)))</f>
        <v>2</v>
      </c>
      <c r="L35" s="8"/>
      <c r="M35" s="178"/>
    </row>
    <row r="36" spans="1:13" ht="18.75" thickBot="1">
      <c r="A36" s="177"/>
      <c r="B36" s="45"/>
      <c r="C36" s="8"/>
      <c r="D36" s="9"/>
      <c r="E36" s="8"/>
      <c r="F36" s="8"/>
      <c r="G36" s="8"/>
      <c r="H36" s="8"/>
      <c r="I36" s="9"/>
      <c r="J36" s="8"/>
      <c r="K36" s="8"/>
      <c r="L36" s="1"/>
      <c r="M36" s="178"/>
    </row>
    <row r="37" spans="1:13" ht="18">
      <c r="A37" s="177"/>
      <c r="B37" s="45"/>
      <c r="C37" s="160"/>
      <c r="D37" s="161" t="s">
        <v>94</v>
      </c>
      <c r="E37" s="162"/>
      <c r="F37" s="162"/>
      <c r="G37" s="162"/>
      <c r="H37" s="162"/>
      <c r="I37" s="163"/>
      <c r="J37" s="162"/>
      <c r="K37" s="164"/>
      <c r="L37" s="8"/>
      <c r="M37" s="178"/>
    </row>
    <row r="38" spans="1:13" ht="23.25" customHeight="1">
      <c r="A38" s="177">
        <v>4</v>
      </c>
      <c r="B38" s="45">
        <v>6</v>
      </c>
      <c r="C38" s="287" t="str">
        <f>NOB4</f>
        <v>DHUBERT</v>
      </c>
      <c r="D38" s="288"/>
      <c r="E38" s="288"/>
      <c r="F38" s="288"/>
      <c r="G38" s="14"/>
      <c r="H38" s="289" t="str">
        <f>IF(G16=0,"dépend du 2ème tour",VLOOKUP(C38,tour3,3,FALSE))</f>
        <v>BRUNET</v>
      </c>
      <c r="I38" s="290"/>
      <c r="J38" s="290"/>
      <c r="K38" s="291"/>
      <c r="L38" s="8"/>
      <c r="M38" s="178"/>
    </row>
    <row r="39" spans="1:13" ht="16.5" customHeight="1">
      <c r="A39" s="178"/>
      <c r="B39" s="1"/>
      <c r="C39" s="10" t="s">
        <v>9</v>
      </c>
      <c r="D39" s="18" t="s">
        <v>8</v>
      </c>
      <c r="E39" s="12" t="s">
        <v>10</v>
      </c>
      <c r="F39" s="12" t="s">
        <v>11</v>
      </c>
      <c r="G39" s="15" t="s">
        <v>12</v>
      </c>
      <c r="H39" s="12" t="s">
        <v>9</v>
      </c>
      <c r="I39" s="18" t="s">
        <v>8</v>
      </c>
      <c r="J39" s="12" t="s">
        <v>10</v>
      </c>
      <c r="K39" s="13" t="s">
        <v>11</v>
      </c>
      <c r="L39" s="8"/>
      <c r="M39" s="178"/>
    </row>
    <row r="40" spans="1:13" ht="22.5" customHeight="1" thickBot="1">
      <c r="A40" s="178"/>
      <c r="B40" s="1"/>
      <c r="C40" s="147">
        <v>22</v>
      </c>
      <c r="D40" s="267">
        <f>IF($G40=0,"",C40/G40)</f>
        <v>0.38596491228070173</v>
      </c>
      <c r="E40" s="148">
        <v>2</v>
      </c>
      <c r="F40" s="149">
        <f>IF(G40=0,"",IF(C40&gt;H40,2,IF(C40=H40,1,0)))</f>
        <v>0</v>
      </c>
      <c r="G40" s="16">
        <v>57</v>
      </c>
      <c r="H40" s="147">
        <v>25</v>
      </c>
      <c r="I40" s="267">
        <f>IF($G40=0,"",H40/G40)</f>
        <v>0.43859649122807015</v>
      </c>
      <c r="J40" s="148">
        <v>2</v>
      </c>
      <c r="K40" s="149">
        <f>IF(G40=0,"",IF(H40&gt;C40,2,IF(H40=C40,1,0)))</f>
        <v>2</v>
      </c>
      <c r="L40" s="8"/>
      <c r="M40" s="178"/>
    </row>
    <row r="41" spans="1:12" ht="15">
      <c r="A41" s="178"/>
      <c r="B41" s="1"/>
      <c r="C41" s="8"/>
      <c r="D41" s="8"/>
      <c r="E41" s="8"/>
      <c r="F41" s="8"/>
      <c r="G41" s="8"/>
      <c r="H41" s="8"/>
      <c r="I41" s="9"/>
      <c r="J41" s="8"/>
      <c r="K41" s="8"/>
      <c r="L41" s="1"/>
    </row>
    <row r="42" spans="2:12" ht="15">
      <c r="B42" s="1"/>
      <c r="C42" s="1"/>
      <c r="D42" s="1"/>
      <c r="E42" s="1"/>
      <c r="F42" s="1"/>
      <c r="G42" s="1"/>
      <c r="H42" s="1"/>
      <c r="I42" s="4"/>
      <c r="J42" s="1"/>
      <c r="K42" s="1"/>
      <c r="L42" s="1"/>
    </row>
    <row r="43" spans="2:12" ht="15">
      <c r="B43" s="1"/>
      <c r="C43" s="1"/>
      <c r="D43" s="1"/>
      <c r="E43" s="1"/>
      <c r="F43" s="1"/>
      <c r="G43" s="1"/>
      <c r="H43" s="1"/>
      <c r="I43" s="4"/>
      <c r="J43" s="1"/>
      <c r="K43" s="1"/>
      <c r="L43" s="1"/>
    </row>
    <row r="44" spans="2:12" ht="15">
      <c r="B44" s="1"/>
      <c r="C44" s="1"/>
      <c r="D44" s="1"/>
      <c r="E44" s="1"/>
      <c r="F44" s="1"/>
      <c r="G44" s="1"/>
      <c r="H44" s="1"/>
      <c r="I44" s="4"/>
      <c r="J44" s="1"/>
      <c r="K44" s="1"/>
      <c r="L44" s="1"/>
    </row>
    <row r="45" spans="2:12" ht="15">
      <c r="B45" s="1"/>
      <c r="C45" s="1"/>
      <c r="D45" s="1"/>
      <c r="E45" s="1"/>
      <c r="F45" s="1"/>
      <c r="G45" s="1"/>
      <c r="H45" s="1"/>
      <c r="I45" s="4"/>
      <c r="J45" s="1"/>
      <c r="K45" s="1"/>
      <c r="L45" s="1"/>
    </row>
    <row r="46" spans="2:12" ht="27" customHeight="1">
      <c r="B46" s="1"/>
      <c r="C46" s="1"/>
      <c r="D46" s="1"/>
      <c r="E46" s="1"/>
      <c r="F46" s="1"/>
      <c r="G46" s="1"/>
      <c r="H46" s="1"/>
      <c r="I46" s="4"/>
      <c r="J46" s="1"/>
      <c r="K46" s="1"/>
      <c r="L46" s="1"/>
    </row>
    <row r="47" spans="2:12" ht="15">
      <c r="B47" s="1"/>
      <c r="C47" s="1"/>
      <c r="D47" s="1"/>
      <c r="E47" s="1"/>
      <c r="F47" s="1"/>
      <c r="G47" s="1"/>
      <c r="H47" s="1"/>
      <c r="I47" s="4"/>
      <c r="J47" s="1"/>
      <c r="K47" s="1"/>
      <c r="L47" s="1"/>
    </row>
    <row r="48" spans="2:12" ht="15">
      <c r="B48" s="1"/>
      <c r="C48" s="1"/>
      <c r="D48" s="1"/>
      <c r="E48" s="1"/>
      <c r="F48" s="1"/>
      <c r="G48" s="1"/>
      <c r="H48" s="1"/>
      <c r="I48" s="4"/>
      <c r="J48" s="1"/>
      <c r="K48" s="1"/>
      <c r="L48" s="1"/>
    </row>
    <row r="49" spans="2:12" ht="15">
      <c r="B49" s="1"/>
      <c r="C49" s="1"/>
      <c r="D49" s="1"/>
      <c r="E49" s="1"/>
      <c r="F49" s="1"/>
      <c r="G49" s="1"/>
      <c r="H49" s="1"/>
      <c r="I49" s="4"/>
      <c r="J49" s="1"/>
      <c r="K49" s="1"/>
      <c r="L49" s="1"/>
    </row>
    <row r="50" spans="2:12" ht="15">
      <c r="B50" s="1"/>
      <c r="C50" s="1"/>
      <c r="D50" s="1"/>
      <c r="E50" s="1"/>
      <c r="F50" s="1"/>
      <c r="G50" s="1"/>
      <c r="H50" s="1"/>
      <c r="I50" s="4"/>
      <c r="J50" s="1"/>
      <c r="K50" s="1"/>
      <c r="L50" s="1"/>
    </row>
    <row r="51" spans="2:12" ht="27.75" customHeight="1">
      <c r="B51" s="1"/>
      <c r="C51" s="1"/>
      <c r="D51" s="1"/>
      <c r="E51" s="1"/>
      <c r="F51" s="1"/>
      <c r="G51" s="1"/>
      <c r="H51" s="1"/>
      <c r="I51" s="4"/>
      <c r="J51" s="1"/>
      <c r="K51" s="1"/>
      <c r="L51" s="1"/>
    </row>
    <row r="52" spans="2:12" ht="15">
      <c r="B52" s="1"/>
      <c r="C52" s="1"/>
      <c r="D52" s="1"/>
      <c r="E52" s="1"/>
      <c r="F52" s="1"/>
      <c r="G52" s="1"/>
      <c r="H52" s="1"/>
      <c r="I52" s="4"/>
      <c r="J52" s="1"/>
      <c r="K52" s="1"/>
      <c r="L52" s="1"/>
    </row>
    <row r="53" spans="2:12" ht="15">
      <c r="B53" s="1"/>
      <c r="C53" s="1"/>
      <c r="D53" s="1"/>
      <c r="E53" s="1"/>
      <c r="F53" s="1"/>
      <c r="G53" s="1"/>
      <c r="H53" s="1"/>
      <c r="I53" s="4"/>
      <c r="J53" s="1"/>
      <c r="K53" s="1"/>
      <c r="L53" s="1"/>
    </row>
    <row r="54" spans="2:12" ht="15">
      <c r="B54" s="1"/>
      <c r="C54" s="1"/>
      <c r="D54" s="1"/>
      <c r="E54" s="1"/>
      <c r="F54" s="1"/>
      <c r="G54" s="1"/>
      <c r="H54" s="1"/>
      <c r="I54" s="4"/>
      <c r="J54" s="1"/>
      <c r="K54" s="1"/>
      <c r="L54" s="1"/>
    </row>
    <row r="55" spans="2:12" ht="15">
      <c r="B55" s="1"/>
      <c r="C55" s="1"/>
      <c r="D55" s="1"/>
      <c r="E55" s="1"/>
      <c r="F55" s="1"/>
      <c r="G55" s="1"/>
      <c r="H55" s="1"/>
      <c r="I55" s="4"/>
      <c r="J55" s="1"/>
      <c r="K55" s="1"/>
      <c r="L55" s="1"/>
    </row>
    <row r="56" spans="2:12" ht="15">
      <c r="B56" s="1"/>
      <c r="C56" s="1"/>
      <c r="D56" s="1"/>
      <c r="E56" s="1"/>
      <c r="F56" s="1"/>
      <c r="G56" s="1"/>
      <c r="H56" s="1"/>
      <c r="I56" s="4"/>
      <c r="J56" s="1"/>
      <c r="K56" s="1"/>
      <c r="L56" s="1"/>
    </row>
    <row r="57" spans="2:12" ht="15">
      <c r="B57" s="1"/>
      <c r="C57" s="1"/>
      <c r="D57" s="1"/>
      <c r="E57" s="1"/>
      <c r="F57" s="1"/>
      <c r="G57" s="1"/>
      <c r="H57" s="1"/>
      <c r="I57" s="4"/>
      <c r="J57" s="1"/>
      <c r="K57" s="1"/>
      <c r="L57" s="1"/>
    </row>
    <row r="58" spans="2:12" ht="15">
      <c r="B58" s="1"/>
      <c r="C58" s="1"/>
      <c r="D58" s="1"/>
      <c r="E58" s="1"/>
      <c r="F58" s="1"/>
      <c r="G58" s="1"/>
      <c r="H58" s="1"/>
      <c r="I58" s="4"/>
      <c r="J58" s="1"/>
      <c r="K58" s="1"/>
      <c r="L58" s="1"/>
    </row>
    <row r="59" spans="2:12" ht="15">
      <c r="B59" s="1"/>
      <c r="C59" s="1"/>
      <c r="D59" s="1"/>
      <c r="E59" s="1"/>
      <c r="F59" s="1"/>
      <c r="G59" s="1"/>
      <c r="H59" s="1"/>
      <c r="I59" s="4"/>
      <c r="J59" s="1"/>
      <c r="K59" s="1"/>
      <c r="L59" s="1"/>
    </row>
    <row r="60" spans="2:12" ht="15">
      <c r="B60" s="1"/>
      <c r="C60" s="1"/>
      <c r="D60" s="1"/>
      <c r="E60" s="1"/>
      <c r="F60" s="1"/>
      <c r="G60" s="1"/>
      <c r="H60" s="1"/>
      <c r="I60" s="4"/>
      <c r="J60" s="1"/>
      <c r="K60" s="1"/>
      <c r="L60" s="1"/>
    </row>
    <row r="61" spans="2:12" ht="15">
      <c r="B61" s="1"/>
      <c r="C61" s="1"/>
      <c r="D61" s="1"/>
      <c r="E61" s="1"/>
      <c r="F61" s="1"/>
      <c r="G61" s="1"/>
      <c r="H61" s="1"/>
      <c r="I61" s="4"/>
      <c r="J61" s="1"/>
      <c r="K61" s="1"/>
      <c r="L61" s="1"/>
    </row>
    <row r="62" spans="2:12" ht="15">
      <c r="B62" s="1"/>
      <c r="C62" s="1"/>
      <c r="D62" s="1"/>
      <c r="E62" s="1"/>
      <c r="F62" s="1"/>
      <c r="G62" s="1"/>
      <c r="H62" s="1"/>
      <c r="I62" s="4"/>
      <c r="J62" s="1"/>
      <c r="K62" s="1"/>
      <c r="L62" s="1"/>
    </row>
    <row r="63" spans="2:12" ht="15">
      <c r="B63" s="1"/>
      <c r="C63" s="1"/>
      <c r="D63" s="1"/>
      <c r="E63" s="1"/>
      <c r="F63" s="1"/>
      <c r="G63" s="1"/>
      <c r="H63" s="1"/>
      <c r="I63" s="4"/>
      <c r="J63" s="1"/>
      <c r="K63" s="1"/>
      <c r="L63" s="1"/>
    </row>
    <row r="64" spans="2:12" ht="15">
      <c r="B64" s="1"/>
      <c r="C64" s="1"/>
      <c r="D64" s="1"/>
      <c r="E64" s="1"/>
      <c r="F64" s="1"/>
      <c r="G64" s="1"/>
      <c r="H64" s="1"/>
      <c r="I64" s="4"/>
      <c r="J64" s="1"/>
      <c r="K64" s="1"/>
      <c r="L64" s="1"/>
    </row>
    <row r="65" spans="2:12" ht="15">
      <c r="B65" s="1"/>
      <c r="C65" s="1"/>
      <c r="D65" s="1"/>
      <c r="E65" s="1"/>
      <c r="F65" s="1"/>
      <c r="G65" s="1"/>
      <c r="H65" s="1"/>
      <c r="I65" s="4"/>
      <c r="J65" s="1"/>
      <c r="K65" s="1"/>
      <c r="L65" s="1"/>
    </row>
    <row r="66" spans="2:12" ht="15">
      <c r="B66" s="1"/>
      <c r="C66" s="1"/>
      <c r="D66" s="1"/>
      <c r="E66" s="1"/>
      <c r="F66" s="1"/>
      <c r="G66" s="1"/>
      <c r="H66" s="1"/>
      <c r="I66" s="4"/>
      <c r="J66" s="1"/>
      <c r="K66" s="1"/>
      <c r="L66" s="1"/>
    </row>
    <row r="67" spans="2:12" ht="15">
      <c r="B67" s="1"/>
      <c r="C67" s="1"/>
      <c r="D67" s="1"/>
      <c r="E67" s="1"/>
      <c r="F67" s="1"/>
      <c r="G67" s="1"/>
      <c r="H67" s="1"/>
      <c r="I67" s="4"/>
      <c r="J67" s="1"/>
      <c r="K67" s="1"/>
      <c r="L67" s="1"/>
    </row>
    <row r="68" spans="2:12" ht="15">
      <c r="B68" s="1"/>
      <c r="C68" s="1"/>
      <c r="D68" s="1"/>
      <c r="E68" s="1"/>
      <c r="F68" s="1"/>
      <c r="G68" s="1"/>
      <c r="H68" s="1"/>
      <c r="I68" s="4"/>
      <c r="J68" s="1"/>
      <c r="K68" s="1"/>
      <c r="L68" s="1"/>
    </row>
    <row r="69" spans="2:12" ht="15">
      <c r="B69" s="1"/>
      <c r="C69" s="1"/>
      <c r="D69" s="1"/>
      <c r="E69" s="1"/>
      <c r="F69" s="1"/>
      <c r="G69" s="1"/>
      <c r="H69" s="1"/>
      <c r="I69" s="4"/>
      <c r="J69" s="1"/>
      <c r="K69" s="1"/>
      <c r="L69" s="1"/>
    </row>
    <row r="70" spans="2:12" ht="15">
      <c r="B70" s="1"/>
      <c r="C70" s="1"/>
      <c r="D70" s="1"/>
      <c r="E70" s="1"/>
      <c r="F70" s="1"/>
      <c r="G70" s="1"/>
      <c r="H70" s="1"/>
      <c r="I70" s="4"/>
      <c r="J70" s="1"/>
      <c r="K70" s="1"/>
      <c r="L70" s="1"/>
    </row>
    <row r="71" spans="2:12" ht="15">
      <c r="B71" s="1"/>
      <c r="C71" s="1"/>
      <c r="D71" s="1"/>
      <c r="E71" s="1"/>
      <c r="F71" s="1"/>
      <c r="G71" s="1"/>
      <c r="H71" s="1"/>
      <c r="I71" s="4"/>
      <c r="J71" s="1"/>
      <c r="K71" s="1"/>
      <c r="L71" s="1"/>
    </row>
    <row r="72" spans="2:12" ht="15">
      <c r="B72" s="1"/>
      <c r="C72" s="1"/>
      <c r="D72" s="1"/>
      <c r="E72" s="1"/>
      <c r="F72" s="1"/>
      <c r="G72" s="1"/>
      <c r="H72" s="1"/>
      <c r="I72" s="4"/>
      <c r="J72" s="1"/>
      <c r="K72" s="1"/>
      <c r="L72" s="1"/>
    </row>
    <row r="73" spans="2:12" ht="15">
      <c r="B73" s="1"/>
      <c r="C73" s="1"/>
      <c r="D73" s="1"/>
      <c r="E73" s="1"/>
      <c r="F73" s="1"/>
      <c r="G73" s="1"/>
      <c r="H73" s="1"/>
      <c r="I73" s="4"/>
      <c r="J73" s="1"/>
      <c r="K73" s="1"/>
      <c r="L73" s="1"/>
    </row>
    <row r="74" spans="2:12" ht="1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2:12" ht="1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2:12" ht="1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2:12" ht="1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2:12" ht="1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2:12" ht="1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2:12" ht="1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2:12" ht="1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2:12" ht="1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2:12" ht="1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2:12" ht="1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2:12" ht="1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2:12" ht="1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</sheetData>
  <sheetProtection sheet="1" objects="1" scenarios="1"/>
  <mergeCells count="16">
    <mergeCell ref="C38:F38"/>
    <mergeCell ref="H38:K38"/>
    <mergeCell ref="C21:F21"/>
    <mergeCell ref="H21:K21"/>
    <mergeCell ref="C26:F26"/>
    <mergeCell ref="H26:K26"/>
    <mergeCell ref="A2:A5"/>
    <mergeCell ref="A1:M1"/>
    <mergeCell ref="M2:M5"/>
    <mergeCell ref="C33:F33"/>
    <mergeCell ref="H33:K33"/>
    <mergeCell ref="B6:L6"/>
    <mergeCell ref="C14:F14"/>
    <mergeCell ref="H14:K14"/>
    <mergeCell ref="C9:F9"/>
    <mergeCell ref="H9:K9"/>
  </mergeCells>
  <conditionalFormatting sqref="C11 E11 G11:H11 J11 C16 E16 G16:H16 J16 C28 E28 G28:H28 J28 C40 E40 G40:H40 J40 C35 E35 G35:H35 J35 C23 E23 G23:H23 J23">
    <cfRule type="cellIs" priority="1" dxfId="7" operator="equal" stopIfTrue="1">
      <formula>$O$1</formula>
    </cfRule>
  </conditionalFormatting>
  <printOptions horizontalCentered="1" verticalCentered="1"/>
  <pageMargins left="0.11811023622047245" right="0.2755905511811024" top="0.15748031496062992" bottom="0.2755905511811024" header="0" footer="0"/>
  <pageSetup horizontalDpi="300" verticalDpi="3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4"/>
  <dimension ref="A1:Z49"/>
  <sheetViews>
    <sheetView showGridLines="0" tabSelected="1" showOutlineSymbols="0" zoomScale="75" zoomScaleNormal="75" zoomScalePageLayoutView="0" workbookViewId="0" topLeftCell="A7">
      <selection activeCell="R32" sqref="R32"/>
    </sheetView>
  </sheetViews>
  <sheetFormatPr defaultColWidth="9.6640625" defaultRowHeight="15"/>
  <cols>
    <col min="1" max="1" width="7.6640625" style="0" customWidth="1"/>
    <col min="2" max="2" width="1.66796875" style="0" customWidth="1"/>
    <col min="3" max="3" width="16.3359375" style="0" customWidth="1"/>
    <col min="4" max="4" width="7.6640625" style="0" customWidth="1"/>
    <col min="5" max="5" width="3.6640625" style="0" customWidth="1"/>
    <col min="6" max="7" width="7.6640625" style="0" customWidth="1"/>
    <col min="8" max="8" width="3.6640625" style="0" customWidth="1"/>
    <col min="9" max="10" width="7.6640625" style="0" customWidth="1"/>
    <col min="11" max="11" width="3.6640625" style="0" customWidth="1"/>
    <col min="12" max="13" width="7.6640625" style="0" customWidth="1"/>
    <col min="14" max="14" width="3.6640625" style="0" customWidth="1"/>
    <col min="15" max="16" width="7.6640625" style="0" customWidth="1"/>
    <col min="17" max="17" width="3.6640625" style="0" customWidth="1"/>
    <col min="18" max="18" width="38.10546875" style="0" customWidth="1"/>
    <col min="19" max="19" width="12.5546875" style="0" customWidth="1"/>
    <col min="20" max="20" width="14.10546875" style="0" customWidth="1"/>
    <col min="21" max="21" width="9.6640625" style="0" customWidth="1"/>
    <col min="22" max="22" width="14.6640625" style="0" customWidth="1"/>
  </cols>
  <sheetData>
    <row r="1" spans="1:21" ht="35.25" customHeight="1">
      <c r="A1" s="327" t="str">
        <f>lieue</f>
        <v>BILLARD CLUB SAINT GAUDENS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1"/>
      <c r="R1" s="1"/>
      <c r="S1" s="1"/>
      <c r="T1" s="1"/>
      <c r="U1" s="1"/>
    </row>
    <row r="2" spans="1:21" ht="16.5" customHeight="1">
      <c r="A2" s="352" t="s">
        <v>134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1"/>
      <c r="R2" s="1"/>
      <c r="S2" s="1"/>
      <c r="T2" s="1"/>
      <c r="U2" s="1"/>
    </row>
    <row r="3" spans="1:21" ht="18.75" customHeight="1">
      <c r="A3" s="1"/>
      <c r="B3" s="1"/>
      <c r="C3" s="350" t="s">
        <v>18</v>
      </c>
      <c r="D3" s="351"/>
      <c r="E3" s="351"/>
      <c r="F3" s="357" t="str">
        <f>LISTE!C6</f>
        <v>3 BANDES</v>
      </c>
      <c r="G3" s="358"/>
      <c r="I3" s="359" t="s">
        <v>19</v>
      </c>
      <c r="J3" s="351"/>
      <c r="K3" s="360" t="str">
        <f>LISTE!C3</f>
        <v>REGIONALE 1</v>
      </c>
      <c r="L3" s="358"/>
      <c r="M3" s="358"/>
      <c r="N3" s="358"/>
      <c r="O3" s="358"/>
      <c r="P3" s="1"/>
      <c r="Q3" s="1"/>
      <c r="R3" s="1"/>
      <c r="S3" s="1"/>
      <c r="T3" s="1"/>
      <c r="U3" s="1"/>
    </row>
    <row r="4" spans="1:21" ht="4.5" customHeight="1">
      <c r="A4" s="1"/>
      <c r="B4" s="1"/>
      <c r="C4" s="6"/>
      <c r="D4" s="132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1"/>
      <c r="Q4" s="1"/>
      <c r="R4" s="1"/>
      <c r="S4" s="1"/>
      <c r="T4" s="1"/>
      <c r="U4" s="1"/>
    </row>
    <row r="5" spans="1:21" ht="18" customHeight="1">
      <c r="A5" s="1"/>
      <c r="B5" s="1"/>
      <c r="C5" s="350" t="s">
        <v>20</v>
      </c>
      <c r="D5" s="351"/>
      <c r="E5" s="351"/>
      <c r="F5" s="357" t="str">
        <f>LISTE!C4</f>
        <v>2m80</v>
      </c>
      <c r="G5" s="358"/>
      <c r="I5" s="359" t="s">
        <v>21</v>
      </c>
      <c r="J5" s="359"/>
      <c r="K5" s="356">
        <f>[0]!DISTANCE</f>
        <v>25</v>
      </c>
      <c r="L5" s="349"/>
      <c r="M5" s="223" t="s">
        <v>9</v>
      </c>
      <c r="P5" s="1"/>
      <c r="Q5" s="1"/>
      <c r="R5" s="1"/>
      <c r="S5" s="1"/>
      <c r="T5" s="1"/>
      <c r="U5" s="1"/>
    </row>
    <row r="6" spans="1:21" ht="4.5" customHeight="1">
      <c r="A6" s="1"/>
      <c r="B6" s="1"/>
      <c r="C6" s="6"/>
      <c r="D6" s="134"/>
      <c r="E6" s="133"/>
      <c r="F6" s="6"/>
      <c r="G6" s="6"/>
      <c r="H6" s="6"/>
      <c r="I6" s="6"/>
      <c r="J6" s="6"/>
      <c r="K6" s="135"/>
      <c r="L6" s="6"/>
      <c r="M6" s="136"/>
      <c r="N6" s="6"/>
      <c r="O6" s="6"/>
      <c r="P6" s="1"/>
      <c r="Q6" s="1"/>
      <c r="R6" s="1"/>
      <c r="S6" s="1"/>
      <c r="T6" s="1"/>
      <c r="U6" s="1"/>
    </row>
    <row r="7" spans="1:21" ht="18.75" customHeight="1">
      <c r="A7" s="1"/>
      <c r="B7" s="1"/>
      <c r="C7" s="350" t="s">
        <v>0</v>
      </c>
      <c r="D7" s="351"/>
      <c r="E7" s="351"/>
      <c r="F7" s="348" t="str">
        <f>LISTE!C7</f>
        <v>DISTRICT</v>
      </c>
      <c r="G7" s="349"/>
      <c r="H7" s="349"/>
      <c r="I7" s="350" t="s">
        <v>1</v>
      </c>
      <c r="J7" s="351"/>
      <c r="K7" s="348" t="str">
        <f>LISTE!C8</f>
        <v>UNIQUE</v>
      </c>
      <c r="L7" s="349"/>
      <c r="N7" s="38"/>
      <c r="P7" s="1"/>
      <c r="Q7" s="1"/>
      <c r="R7" s="1"/>
      <c r="S7" s="1"/>
      <c r="T7" s="1"/>
      <c r="U7" s="1"/>
    </row>
    <row r="8" spans="1:21" ht="4.5" customHeight="1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21.75" customHeight="1" thickBot="1">
      <c r="A9" s="1"/>
      <c r="B9" s="1"/>
      <c r="C9" s="258" t="s">
        <v>135</v>
      </c>
      <c r="D9" s="334" t="str">
        <f>C10</f>
        <v>BORTOLOTTO</v>
      </c>
      <c r="E9" s="354"/>
      <c r="F9" s="355"/>
      <c r="G9" s="334" t="str">
        <f>C14</f>
        <v>BRUNET</v>
      </c>
      <c r="H9" s="335"/>
      <c r="I9" s="336"/>
      <c r="J9" s="334" t="str">
        <f>C18</f>
        <v>GRISAT</v>
      </c>
      <c r="K9" s="335"/>
      <c r="L9" s="336"/>
      <c r="M9" s="334" t="str">
        <f>C22</f>
        <v>DHUBERT</v>
      </c>
      <c r="N9" s="335"/>
      <c r="O9" s="336"/>
      <c r="P9" s="8"/>
      <c r="Q9" s="1"/>
      <c r="R9" s="1"/>
      <c r="S9" s="1"/>
      <c r="T9" s="1"/>
      <c r="U9" s="1"/>
    </row>
    <row r="10" spans="1:21" ht="15.75" customHeight="1">
      <c r="A10" s="1"/>
      <c r="B10" s="1"/>
      <c r="C10" s="328" t="str">
        <f>NOB1</f>
        <v>BORTOLOTTO</v>
      </c>
      <c r="D10" s="296" t="s">
        <v>136</v>
      </c>
      <c r="E10" s="319"/>
      <c r="F10" s="320"/>
      <c r="G10" s="332">
        <f>IF($G$9=$S$12,VLOOKUP($R$12,resu1,6,FALSE),VLOOKUP($R$13,resu1,6,FALSE))</f>
        <v>17</v>
      </c>
      <c r="H10" s="226">
        <f>IF(I10="","",VLOOKUP(G9,ordre1,10,FALSE))</f>
        <v>2</v>
      </c>
      <c r="I10" s="330">
        <f>IF($G$9=$S$12,VLOOKUP($R$12,resu1,7,FALSE),VLOOKUP($R$13,resu1,7,FALSE))</f>
        <v>66</v>
      </c>
      <c r="J10" s="332">
        <f>IF($J$9=$S$12,VLOOKUP($R$12,resu1,6,FALSE),VLOOKUP($R$13,resu1,6,FALSE))</f>
        <v>18</v>
      </c>
      <c r="K10" s="226">
        <f>IF(L10="","",VLOOKUP(J9,ordre1,10,FALSE))</f>
        <v>3</v>
      </c>
      <c r="L10" s="330">
        <f>IF($J$9=$S$12,VLOOKUP($R$12,resu1,7,FALSE),VLOOKUP($R$13,resu1,7,FALSE))</f>
        <v>65</v>
      </c>
      <c r="M10" s="332">
        <f>VLOOKUP($R10,resu1,6,FALSE)</f>
        <v>25</v>
      </c>
      <c r="N10" s="226">
        <f>IF(O10="","",VLOOKUP(M9,ordre1,10,FALSE))</f>
        <v>1</v>
      </c>
      <c r="O10" s="330">
        <f>VLOOKUP($R$10,resu1,7,FALSE)</f>
        <v>67</v>
      </c>
      <c r="P10" s="8"/>
      <c r="Q10" s="1"/>
      <c r="R10" s="1">
        <v>1</v>
      </c>
      <c r="S10" s="72" t="str">
        <f>VLOOKUP(R10,resu1,4,FALSE)</f>
        <v>DHUBERT</v>
      </c>
      <c r="T10" s="68"/>
      <c r="U10" s="1"/>
    </row>
    <row r="11" spans="1:21" ht="6.75" customHeight="1">
      <c r="A11" s="1"/>
      <c r="B11" s="1"/>
      <c r="C11" s="329"/>
      <c r="D11" s="321"/>
      <c r="E11" s="322"/>
      <c r="F11" s="323"/>
      <c r="G11" s="333"/>
      <c r="H11" s="129"/>
      <c r="I11" s="331"/>
      <c r="J11" s="333"/>
      <c r="K11" s="129"/>
      <c r="L11" s="331"/>
      <c r="M11" s="333"/>
      <c r="N11" s="129"/>
      <c r="O11" s="331"/>
      <c r="P11" s="8"/>
      <c r="Q11" s="1"/>
      <c r="R11" s="1"/>
      <c r="S11" s="72"/>
      <c r="T11" s="68"/>
      <c r="U11" s="1"/>
    </row>
    <row r="12" spans="1:21" ht="21" customHeight="1">
      <c r="A12" s="1"/>
      <c r="B12" s="1"/>
      <c r="C12" s="259" t="str">
        <f>lice1</f>
        <v>105243-V</v>
      </c>
      <c r="D12" s="321"/>
      <c r="E12" s="322"/>
      <c r="F12" s="323"/>
      <c r="G12" s="224"/>
      <c r="H12" s="137">
        <f>IF($G$9=$S$12,VLOOKUP($R$12,resu1,11,FALSE),VLOOKUP($R$13,resu1,11,FALSE))</f>
        <v>0</v>
      </c>
      <c r="I12" s="138"/>
      <c r="J12" s="224"/>
      <c r="K12" s="137">
        <f>IF($J$9=$S$12,VLOOKUP($R$12,resu1,11,FALSE),VLOOKUP($R$13,resu1,11,FALSE))</f>
        <v>0</v>
      </c>
      <c r="L12" s="138"/>
      <c r="M12" s="224"/>
      <c r="N12" s="137">
        <f>VLOOKUP($R$10,resu1,11,FALSE)</f>
        <v>2</v>
      </c>
      <c r="O12" s="138"/>
      <c r="P12" s="8"/>
      <c r="Q12" s="7"/>
      <c r="R12" s="1">
        <v>2</v>
      </c>
      <c r="S12" s="72" t="str">
        <f>VLOOKUP(R12,resu1,4,FALSE)</f>
        <v>BRUNET</v>
      </c>
      <c r="T12" s="68"/>
      <c r="U12" s="1"/>
    </row>
    <row r="13" spans="1:21" ht="21" customHeight="1" thickBot="1">
      <c r="A13" s="1"/>
      <c r="B13" s="1"/>
      <c r="C13" s="261" t="str">
        <f>clu1</f>
        <v>St-Gaudens</v>
      </c>
      <c r="D13" s="324"/>
      <c r="E13" s="325"/>
      <c r="F13" s="326"/>
      <c r="G13" s="274">
        <f>IF(G10="","",+G10/I10)</f>
        <v>0.25757575757575757</v>
      </c>
      <c r="H13" s="130"/>
      <c r="I13" s="225">
        <f>IF($G$9=$S$12,VLOOKUP($R$12,resu1,10,FALSE),VLOOKUP($R$13,resu1,10,FALSE))</f>
        <v>2</v>
      </c>
      <c r="J13" s="274">
        <f>IF(J10="","",+J10/L10)</f>
        <v>0.27692307692307694</v>
      </c>
      <c r="K13" s="130"/>
      <c r="L13" s="225">
        <f>IF($J$9=$S$12,VLOOKUP($R$12,resu1,10,FALSE),VLOOKUP($R$13,resu1,10,FALSE))</f>
        <v>4</v>
      </c>
      <c r="M13" s="274">
        <f>IF(M10="","",+M10/O10)</f>
        <v>0.373134328358209</v>
      </c>
      <c r="N13" s="130"/>
      <c r="O13" s="225">
        <f>VLOOKUP($R$10,resu1,10,FALSE)</f>
        <v>2</v>
      </c>
      <c r="P13" s="8"/>
      <c r="Q13" s="1"/>
      <c r="R13" s="1">
        <v>3</v>
      </c>
      <c r="S13" s="72" t="str">
        <f>VLOOKUP(R13,resu1,4,FALSE)</f>
        <v>GRISAT</v>
      </c>
      <c r="T13" s="68"/>
      <c r="U13" s="1"/>
    </row>
    <row r="14" spans="1:21" ht="15.75" customHeight="1">
      <c r="A14" s="1"/>
      <c r="B14" s="1"/>
      <c r="C14" s="328" t="str">
        <f>NOB2</f>
        <v>BRUNET</v>
      </c>
      <c r="D14" s="332">
        <f>IF($D$9=$S$16,VLOOKUP($R$16,resu2,6,FALSE),VLOOKUP($R$17,resu2,6,FALSE))</f>
        <v>25</v>
      </c>
      <c r="E14" s="226">
        <f>IF(F14="","",VLOOKUP(D9,ordre2,10,FALSE))</f>
        <v>2</v>
      </c>
      <c r="F14" s="330">
        <f>IF($D$9=$S$16,VLOOKUP($R$16,resu2,7,FALSE),VLOOKUP($R$17,resu2,7,FALSE))</f>
        <v>66</v>
      </c>
      <c r="G14" s="296" t="s">
        <v>136</v>
      </c>
      <c r="H14" s="297"/>
      <c r="I14" s="298"/>
      <c r="J14" s="332">
        <f>VLOOKUP($R$14,resu2,6,FALSE)</f>
        <v>25</v>
      </c>
      <c r="K14" s="226">
        <f>IF(L14="","",VLOOKUP(J9,ordre2,10,FALSE))</f>
        <v>1</v>
      </c>
      <c r="L14" s="330">
        <f>VLOOKUP($R$14,resu2,7,FALSE)</f>
        <v>54</v>
      </c>
      <c r="M14" s="332">
        <f>IF($M$9=$S$16,VLOOKUP($R$16,resu2,6,FALSE),VLOOKUP($R$17,resu2,6,FALSE))</f>
        <v>25</v>
      </c>
      <c r="N14" s="226">
        <f>IF(O14="","",VLOOKUP(M9,ordre2,10,FALSE))</f>
        <v>3</v>
      </c>
      <c r="O14" s="330">
        <f>IF($M$9=$S$16,VLOOKUP($R$16,resu2,7,FALSE),VLOOKUP($R$17,resu2,7,FALSE))</f>
        <v>57</v>
      </c>
      <c r="P14" s="8"/>
      <c r="Q14" s="1"/>
      <c r="R14" s="1">
        <v>1</v>
      </c>
      <c r="S14" s="71" t="str">
        <f>VLOOKUP(R14,resu2,4,FALSE)</f>
        <v>GRISAT</v>
      </c>
      <c r="T14" s="68"/>
      <c r="U14" s="1"/>
    </row>
    <row r="15" spans="1:21" ht="6.75" customHeight="1">
      <c r="A15" s="1"/>
      <c r="B15" s="1"/>
      <c r="C15" s="329"/>
      <c r="D15" s="333"/>
      <c r="E15" s="129"/>
      <c r="F15" s="331"/>
      <c r="G15" s="299"/>
      <c r="H15" s="300"/>
      <c r="I15" s="301"/>
      <c r="J15" s="333"/>
      <c r="K15" s="129"/>
      <c r="L15" s="331"/>
      <c r="M15" s="333"/>
      <c r="N15" s="129"/>
      <c r="O15" s="331"/>
      <c r="P15" s="8"/>
      <c r="Q15" s="1"/>
      <c r="R15" s="1"/>
      <c r="S15" s="71"/>
      <c r="T15" s="68"/>
      <c r="U15" s="1"/>
    </row>
    <row r="16" spans="1:21" ht="21" customHeight="1">
      <c r="A16" s="1"/>
      <c r="B16" s="1"/>
      <c r="C16" s="259" t="str">
        <f>lice2</f>
        <v>109368-M</v>
      </c>
      <c r="D16" s="224"/>
      <c r="E16" s="137">
        <f>IF($D$9=$S$16,VLOOKUP($R$16,resu2,11,FALSE),VLOOKUP($R$17,resu2,11,FALSE))</f>
        <v>2</v>
      </c>
      <c r="F16" s="138"/>
      <c r="G16" s="299"/>
      <c r="H16" s="300"/>
      <c r="I16" s="301"/>
      <c r="J16" s="224"/>
      <c r="K16" s="137">
        <f>VLOOKUP($R$14,resu2,11,FALSE)</f>
        <v>2</v>
      </c>
      <c r="L16" s="138"/>
      <c r="M16" s="224"/>
      <c r="N16" s="137">
        <f>IF($M$9=$S$16,VLOOKUP($R$16,resu2,11,FALSE),VLOOKUP($R$17,resu2,11,FALSE))</f>
        <v>2</v>
      </c>
      <c r="O16" s="138"/>
      <c r="P16" s="8"/>
      <c r="Q16" s="1"/>
      <c r="R16" s="1">
        <v>2</v>
      </c>
      <c r="S16" s="71" t="str">
        <f>VLOOKUP(R16,resu2,4,FALSE)</f>
        <v>BORTOLOTTO</v>
      </c>
      <c r="T16" s="68"/>
      <c r="U16" s="1"/>
    </row>
    <row r="17" spans="1:21" ht="21" customHeight="1" thickBot="1">
      <c r="A17" s="1"/>
      <c r="B17" s="1"/>
      <c r="C17" s="261" t="str">
        <f>clu2</f>
        <v>St-Gaudens</v>
      </c>
      <c r="D17" s="274">
        <f>IF(D14="","",+D14/F14)</f>
        <v>0.3787878787878788</v>
      </c>
      <c r="E17" s="130"/>
      <c r="F17" s="225">
        <f>IF($D$9=$S$16,VLOOKUP($R$16,resu2,10,FALSE),VLOOKUP($R$17,resu2,10,FALSE))</f>
        <v>1</v>
      </c>
      <c r="G17" s="302"/>
      <c r="H17" s="303"/>
      <c r="I17" s="304"/>
      <c r="J17" s="274">
        <f>IF(J14="","",+J14/L14)</f>
        <v>0.46296296296296297</v>
      </c>
      <c r="K17" s="130"/>
      <c r="L17" s="225">
        <f>VLOOKUP($R$14,resu2,10,FALSE)</f>
        <v>4</v>
      </c>
      <c r="M17" s="274">
        <f>IF(M14="","",+M14/O14)</f>
        <v>0.43859649122807015</v>
      </c>
      <c r="N17" s="130"/>
      <c r="O17" s="225">
        <f>IF($M$9=$S$16,VLOOKUP($R$16,resu2,10,FALSE),VLOOKUP($R$17,resu2,10,FALSE))</f>
        <v>2</v>
      </c>
      <c r="P17" s="8"/>
      <c r="Q17" s="1"/>
      <c r="R17" s="1">
        <v>3</v>
      </c>
      <c r="S17" s="71" t="str">
        <f>VLOOKUP(R17,resu2,4,FALSE)</f>
        <v>DHUBERT</v>
      </c>
      <c r="T17" s="68"/>
      <c r="U17" s="1"/>
    </row>
    <row r="18" spans="1:21" ht="15.75" customHeight="1">
      <c r="A18" s="1"/>
      <c r="B18" s="1"/>
      <c r="C18" s="328" t="str">
        <f>NOB3</f>
        <v>GRISAT</v>
      </c>
      <c r="D18" s="332">
        <f>IF($D$9=$S$20,VLOOKUP($R$20,resu3,6,FALSE),VLOOKUP($R$21,resu3,6,FALSE))</f>
        <v>25</v>
      </c>
      <c r="E18" s="226">
        <f>IF(F18="","",VLOOKUP(D9,ordre3,10,FALSE))</f>
        <v>3</v>
      </c>
      <c r="F18" s="330">
        <f>IF($D$9=$S$20,VLOOKUP($R$20,resu3,7,FALSE),VLOOKUP($R$21,resu3,7,FALSE))</f>
        <v>65</v>
      </c>
      <c r="G18" s="332">
        <f>VLOOKUP($R$14,resu3,6,FALSE)</f>
        <v>23</v>
      </c>
      <c r="H18" s="226">
        <f>IF(I18="","",VLOOKUP(G9,ordre3,10,FALSE))</f>
        <v>1</v>
      </c>
      <c r="I18" s="330">
        <f>VLOOKUP($R$14,resu3,7,FALSE)</f>
        <v>54</v>
      </c>
      <c r="J18" s="296" t="s">
        <v>136</v>
      </c>
      <c r="K18" s="297"/>
      <c r="L18" s="298"/>
      <c r="M18" s="332">
        <f>IF($M$9=$S$20,VLOOKUP($R$20,resu3,6,FALSE),VLOOKUP($R$21,resu3,6,FALSE))</f>
        <v>25</v>
      </c>
      <c r="N18" s="226">
        <f>IF(O18="","",VLOOKUP(M9,ordre3,10,FALSE))</f>
        <v>2</v>
      </c>
      <c r="O18" s="330">
        <f>IF($M$9=$S$20,VLOOKUP($R$20,resu3,7,FALSE),VLOOKUP($R$21,resu3,7,FALSE))</f>
        <v>91</v>
      </c>
      <c r="P18" s="8"/>
      <c r="Q18" s="1"/>
      <c r="R18" s="1">
        <v>1</v>
      </c>
      <c r="S18" s="70" t="str">
        <f>VLOOKUP(R18,resu3,4,FALSE)</f>
        <v>BRUNET</v>
      </c>
      <c r="T18" s="68"/>
      <c r="U18" s="1"/>
    </row>
    <row r="19" spans="1:21" ht="6.75" customHeight="1">
      <c r="A19" s="1"/>
      <c r="B19" s="1"/>
      <c r="C19" s="329"/>
      <c r="D19" s="333"/>
      <c r="E19" s="129"/>
      <c r="F19" s="331"/>
      <c r="G19" s="333"/>
      <c r="H19" s="129"/>
      <c r="I19" s="331"/>
      <c r="J19" s="299"/>
      <c r="K19" s="300"/>
      <c r="L19" s="301"/>
      <c r="M19" s="333"/>
      <c r="N19" s="129"/>
      <c r="O19" s="331"/>
      <c r="P19" s="8"/>
      <c r="Q19" s="1"/>
      <c r="R19" s="1"/>
      <c r="S19" s="70"/>
      <c r="T19" s="68"/>
      <c r="U19" s="1"/>
    </row>
    <row r="20" spans="1:21" ht="21" customHeight="1">
      <c r="A20" s="6"/>
      <c r="B20" s="6"/>
      <c r="C20" s="259" t="str">
        <f>lice3</f>
        <v>109360-E</v>
      </c>
      <c r="D20" s="224"/>
      <c r="E20" s="137">
        <f>IF($D$9=$S$20,VLOOKUP($R$20,resu3,11,FALSE),VLOOKUP($R$21,resu3,11,FALSE))</f>
        <v>2</v>
      </c>
      <c r="F20" s="138"/>
      <c r="G20" s="224"/>
      <c r="H20" s="137">
        <f>VLOOKUP($R$14,resu3,11,FALSE)</f>
        <v>0</v>
      </c>
      <c r="I20" s="138"/>
      <c r="J20" s="299"/>
      <c r="K20" s="300"/>
      <c r="L20" s="301"/>
      <c r="M20" s="224"/>
      <c r="N20" s="137">
        <f>IF($M$9=$S$20,VLOOKUP($R$20,resu3,11,FALSE),VLOOKUP($R$21,resu3,11,FALSE))</f>
        <v>2</v>
      </c>
      <c r="O20" s="138"/>
      <c r="P20" s="8"/>
      <c r="Q20" s="1"/>
      <c r="R20" s="1">
        <v>2</v>
      </c>
      <c r="S20" s="70" t="str">
        <f>VLOOKUP(R20,resu3,4,FALSE)</f>
        <v>DHUBERT</v>
      </c>
      <c r="T20" s="68"/>
      <c r="U20" s="1"/>
    </row>
    <row r="21" spans="1:21" ht="21.75" customHeight="1" thickBot="1">
      <c r="A21" s="1"/>
      <c r="B21" s="1"/>
      <c r="C21" s="260" t="str">
        <f>clu3</f>
        <v>St-Gaudens</v>
      </c>
      <c r="D21" s="274">
        <f>IF(D18="","",+D18/F18)</f>
        <v>0.38461538461538464</v>
      </c>
      <c r="E21" s="130"/>
      <c r="F21" s="225">
        <f>IF($D$9=$S$20,VLOOKUP($R$20,resu3,10,FALSE),VLOOKUP($R$21,resu3,10,FALSE))</f>
        <v>2</v>
      </c>
      <c r="G21" s="274">
        <f>IF(G18="","",+G18/I18)</f>
        <v>0.42592592592592593</v>
      </c>
      <c r="H21" s="130"/>
      <c r="I21" s="225">
        <f>VLOOKUP($R$14,resu3,10,FALSE)</f>
        <v>2</v>
      </c>
      <c r="J21" s="302"/>
      <c r="K21" s="303"/>
      <c r="L21" s="304"/>
      <c r="M21" s="274">
        <f>IF(M18="","",+M18/O18)</f>
        <v>0.27472527472527475</v>
      </c>
      <c r="N21" s="130"/>
      <c r="O21" s="225">
        <v>2</v>
      </c>
      <c r="P21" s="8"/>
      <c r="Q21" s="1"/>
      <c r="R21" s="1">
        <v>3</v>
      </c>
      <c r="S21" s="70" t="str">
        <f>VLOOKUP(R21,resu3,4,FALSE)</f>
        <v>BORTOLOTTO</v>
      </c>
      <c r="T21" s="68"/>
      <c r="U21" s="1"/>
    </row>
    <row r="22" spans="1:23" ht="15" customHeight="1">
      <c r="A22" s="1"/>
      <c r="B22" s="1"/>
      <c r="C22" s="328" t="str">
        <f>NOB4</f>
        <v>DHUBERT</v>
      </c>
      <c r="D22" s="332">
        <f>VLOOKUP($R$10,resu4,6,FALSE)</f>
        <v>12</v>
      </c>
      <c r="E22" s="226">
        <f>IF(F22="","",VLOOKUP(D9,ordre4,10,FALSE))</f>
        <v>1</v>
      </c>
      <c r="F22" s="330">
        <f>VLOOKUP($R$10,resu4,7,FALSE)</f>
        <v>67</v>
      </c>
      <c r="G22" s="332">
        <f>IF($G$9=$S$24,VLOOKUP($R$24,resu4,6,FALSE),VLOOKUP($R$25,resu4,6,FALSE))</f>
        <v>22</v>
      </c>
      <c r="H22" s="226">
        <f>IF(I22="","",VLOOKUP(G9,ordre4,10,FALSE))</f>
        <v>3</v>
      </c>
      <c r="I22" s="330">
        <f>IF($G$9=$S$24,VLOOKUP($R$24,resu4,7,FALSE),VLOOKUP($R$25,resu4,7,FALSE))</f>
        <v>57</v>
      </c>
      <c r="J22" s="332">
        <f>IF($J$9=$S$24,VLOOKUP($R$24,resu4,6,FALSE),VLOOKUP($R$25,resu4,6,FALSE))</f>
        <v>20</v>
      </c>
      <c r="K22" s="226">
        <f>IF(L22="","",VLOOKUP(J9,ordre4,10,FALSE))</f>
        <v>2</v>
      </c>
      <c r="L22" s="330">
        <f>IF($J$9=$S$24,VLOOKUP($R$24,resu4,7,FALSE),VLOOKUP($R$25,resu4,7,FALSE))</f>
        <v>91</v>
      </c>
      <c r="M22" s="296" t="s">
        <v>136</v>
      </c>
      <c r="N22" s="319"/>
      <c r="O22" s="320"/>
      <c r="P22" s="8"/>
      <c r="Q22" s="1"/>
      <c r="R22" s="1">
        <v>1</v>
      </c>
      <c r="S22" s="69" t="str">
        <f>VLOOKUP(R22,resu4,4,FALSE)</f>
        <v>BORTOLOTTO</v>
      </c>
      <c r="T22" s="68"/>
      <c r="U22" s="1"/>
      <c r="V22" s="78" t="str">
        <f>T31</f>
        <v>BRUNET</v>
      </c>
      <c r="W22" s="79" t="s">
        <v>33</v>
      </c>
    </row>
    <row r="23" spans="1:23" ht="6" customHeight="1">
      <c r="A23" s="1"/>
      <c r="B23" s="1"/>
      <c r="C23" s="329"/>
      <c r="D23" s="333"/>
      <c r="E23" s="129"/>
      <c r="F23" s="331"/>
      <c r="G23" s="333"/>
      <c r="H23" s="129"/>
      <c r="I23" s="331"/>
      <c r="J23" s="333"/>
      <c r="K23" s="129"/>
      <c r="L23" s="331"/>
      <c r="M23" s="321"/>
      <c r="N23" s="322"/>
      <c r="O23" s="323"/>
      <c r="P23" s="8"/>
      <c r="Q23" s="1"/>
      <c r="R23" s="1"/>
      <c r="S23" s="69"/>
      <c r="T23" s="68"/>
      <c r="U23" s="1"/>
      <c r="V23" s="78"/>
      <c r="W23" s="79"/>
    </row>
    <row r="24" spans="1:23" ht="21" customHeight="1">
      <c r="A24" s="1"/>
      <c r="B24" s="1"/>
      <c r="C24" s="259" t="str">
        <f>lice4</f>
        <v>106976-M</v>
      </c>
      <c r="D24" s="224"/>
      <c r="E24" s="137">
        <f>VLOOKUP($R$10,resu4,11,FALSE)</f>
        <v>0</v>
      </c>
      <c r="F24" s="138"/>
      <c r="G24" s="224"/>
      <c r="H24" s="137">
        <f>IF($G$9=$S$24,VLOOKUP($R$24,resu4,11,FALSE),VLOOKUP($R$25,resu4,11,FALSE))</f>
        <v>0</v>
      </c>
      <c r="I24" s="138"/>
      <c r="J24" s="224"/>
      <c r="K24" s="137">
        <f>IF($J$9=$S$24,VLOOKUP($R$24,resu4,11,FALSE),VLOOKUP($R$25,resu4,11,FALSE))</f>
        <v>0</v>
      </c>
      <c r="L24" s="138"/>
      <c r="M24" s="321"/>
      <c r="N24" s="322"/>
      <c r="O24" s="323"/>
      <c r="P24" s="8"/>
      <c r="Q24" s="1"/>
      <c r="R24" s="1">
        <v>2</v>
      </c>
      <c r="S24" s="69" t="str">
        <f>VLOOKUP(R24,resu4,4,FALSE)</f>
        <v>GRISAT</v>
      </c>
      <c r="T24" s="68"/>
      <c r="U24" s="1"/>
      <c r="V24" s="78" t="str">
        <f>T32</f>
        <v>GRISAT</v>
      </c>
      <c r="W24" s="79" t="s">
        <v>34</v>
      </c>
    </row>
    <row r="25" spans="1:23" ht="21" customHeight="1" thickBot="1">
      <c r="A25" s="1"/>
      <c r="B25" s="1"/>
      <c r="C25" s="260" t="str">
        <f>clu4</f>
        <v>St-Gaudens</v>
      </c>
      <c r="D25" s="274">
        <f>IF(D22="","",+D22/F22)</f>
        <v>0.1791044776119403</v>
      </c>
      <c r="E25" s="130"/>
      <c r="F25" s="225">
        <f>VLOOKUP($R$10,resu4,10,FALSE)</f>
        <v>2</v>
      </c>
      <c r="G25" s="274">
        <f>IF(G22="","",+G22/I22)</f>
        <v>0.38596491228070173</v>
      </c>
      <c r="H25" s="130"/>
      <c r="I25" s="225">
        <f>IF($G$9=$S$24,VLOOKUP($R$24,resu4,10,FALSE),VLOOKUP($R$25,resu4,10,FALSE))</f>
        <v>2</v>
      </c>
      <c r="J25" s="274">
        <f>IF(J22="","",+J22/L22)</f>
        <v>0.21978021978021978</v>
      </c>
      <c r="K25" s="130"/>
      <c r="L25" s="225">
        <v>2</v>
      </c>
      <c r="M25" s="324"/>
      <c r="N25" s="325"/>
      <c r="O25" s="326"/>
      <c r="P25" s="8"/>
      <c r="Q25" s="1"/>
      <c r="R25" s="1">
        <v>3</v>
      </c>
      <c r="S25" s="69" t="str">
        <f>VLOOKUP(R25,resu4,4,FALSE)</f>
        <v>BRUNET</v>
      </c>
      <c r="T25" s="68"/>
      <c r="U25" s="1"/>
      <c r="V25" s="78" t="str">
        <f>T33</f>
        <v>BORTOLOTTO</v>
      </c>
      <c r="W25" s="79" t="s">
        <v>35</v>
      </c>
    </row>
    <row r="26" spans="1:23" ht="6.75" customHeight="1">
      <c r="A26" s="1"/>
      <c r="B26" s="1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1"/>
      <c r="Q26" s="1"/>
      <c r="R26" s="1"/>
      <c r="S26" s="1"/>
      <c r="T26" s="1"/>
      <c r="U26" s="1"/>
      <c r="V26" s="78" t="str">
        <f>T34</f>
        <v>DHUBERT</v>
      </c>
      <c r="W26" s="79" t="s">
        <v>36</v>
      </c>
    </row>
    <row r="27" spans="1:21" ht="15">
      <c r="A27" s="114" t="s">
        <v>22</v>
      </c>
      <c r="B27" s="1"/>
      <c r="C27" s="270" t="s">
        <v>141</v>
      </c>
      <c r="D27" s="1"/>
      <c r="E27" s="1"/>
      <c r="F27" s="1"/>
      <c r="G27" s="1"/>
      <c r="H27" s="1"/>
      <c r="I27" s="114" t="s">
        <v>2</v>
      </c>
      <c r="J27" s="1"/>
      <c r="K27" s="1" t="str">
        <f>dirjeu</f>
        <v>Robert REMY</v>
      </c>
      <c r="L27" s="1"/>
      <c r="M27" s="1"/>
      <c r="N27" s="1"/>
      <c r="O27" s="1"/>
      <c r="P27" s="1"/>
      <c r="Q27" s="1"/>
      <c r="R27" s="1"/>
      <c r="S27" s="1"/>
      <c r="T27" s="1"/>
      <c r="U27" s="20" t="s">
        <v>68</v>
      </c>
    </row>
    <row r="28" spans="1:21" ht="6" customHeight="1" thickBot="1">
      <c r="A28" s="1"/>
      <c r="B28" s="1"/>
      <c r="C28" s="1"/>
      <c r="D28" s="1"/>
      <c r="E28" s="1"/>
      <c r="F28" s="1"/>
      <c r="G28" s="1"/>
      <c r="H28" s="5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3.5" customHeight="1">
      <c r="A29" s="343" t="s">
        <v>29</v>
      </c>
      <c r="B29" s="345" t="s">
        <v>4</v>
      </c>
      <c r="C29" s="346"/>
      <c r="D29" s="345" t="s">
        <v>5</v>
      </c>
      <c r="E29" s="346"/>
      <c r="F29" s="243" t="s">
        <v>23</v>
      </c>
      <c r="G29" s="337" t="s">
        <v>6</v>
      </c>
      <c r="H29" s="338"/>
      <c r="I29" s="243" t="s">
        <v>24</v>
      </c>
      <c r="J29" s="243" t="s">
        <v>24</v>
      </c>
      <c r="K29" s="305" t="s">
        <v>25</v>
      </c>
      <c r="L29" s="306"/>
      <c r="M29" s="305" t="s">
        <v>26</v>
      </c>
      <c r="N29" s="306"/>
      <c r="O29" s="243" t="s">
        <v>27</v>
      </c>
      <c r="P29" s="253" t="s">
        <v>28</v>
      </c>
      <c r="Q29" s="8"/>
      <c r="R29" s="1"/>
      <c r="S29" s="1"/>
      <c r="T29" s="1"/>
      <c r="U29" s="1"/>
    </row>
    <row r="30" spans="1:26" ht="19.5" customHeight="1" thickBot="1">
      <c r="A30" s="344"/>
      <c r="B30" s="347"/>
      <c r="C30" s="342"/>
      <c r="D30" s="347"/>
      <c r="E30" s="342"/>
      <c r="F30" s="227" t="s">
        <v>17</v>
      </c>
      <c r="G30" s="339"/>
      <c r="H30" s="340"/>
      <c r="I30" s="227" t="s">
        <v>9</v>
      </c>
      <c r="J30" s="227" t="s">
        <v>13</v>
      </c>
      <c r="K30" s="341" t="s">
        <v>30</v>
      </c>
      <c r="L30" s="342"/>
      <c r="M30" s="341" t="s">
        <v>31</v>
      </c>
      <c r="N30" s="342"/>
      <c r="O30" s="227" t="s">
        <v>10</v>
      </c>
      <c r="P30" s="254" t="s">
        <v>32</v>
      </c>
      <c r="Q30" s="8"/>
      <c r="R30" s="1"/>
      <c r="S30" s="75"/>
      <c r="T30" s="73" t="s">
        <v>38</v>
      </c>
      <c r="U30" s="74" t="s">
        <v>9</v>
      </c>
      <c r="V30" s="44" t="s">
        <v>13</v>
      </c>
      <c r="W30" s="44" t="s">
        <v>69</v>
      </c>
      <c r="X30" s="44" t="s">
        <v>70</v>
      </c>
      <c r="Y30" s="44" t="s">
        <v>10</v>
      </c>
      <c r="Z30" s="44" t="s">
        <v>71</v>
      </c>
    </row>
    <row r="31" spans="1:26" ht="19.5" customHeight="1">
      <c r="A31" s="228" t="s">
        <v>33</v>
      </c>
      <c r="B31" s="231"/>
      <c r="C31" s="232" t="str">
        <f>T31</f>
        <v>BRUNET</v>
      </c>
      <c r="D31" s="237" t="str">
        <f>VLOOKUP($C31,init,2,FALSE)</f>
        <v>Christian</v>
      </c>
      <c r="E31" s="238"/>
      <c r="F31" s="255" t="str">
        <f>VLOOKUP($C31,init,4,FALSE)</f>
        <v>109368-M</v>
      </c>
      <c r="G31" s="244" t="str">
        <f>VLOOKUP($C31,init,3,FALSE)</f>
        <v>St-Gaudens</v>
      </c>
      <c r="H31" s="245"/>
      <c r="I31" s="250">
        <f aca="true" t="shared" si="0" ref="I31:J34">U31</f>
        <v>75</v>
      </c>
      <c r="J31" s="250">
        <f t="shared" si="0"/>
        <v>177</v>
      </c>
      <c r="K31" s="315">
        <f>IF(J31=0,"",W31)</f>
        <v>0.423728813559322</v>
      </c>
      <c r="L31" s="316"/>
      <c r="M31" s="309">
        <f>X31</f>
        <v>0.46296296296296297</v>
      </c>
      <c r="N31" s="310"/>
      <c r="O31" s="250">
        <f aca="true" t="shared" si="1" ref="O31:P34">Y31</f>
        <v>4</v>
      </c>
      <c r="P31" s="262">
        <f t="shared" si="1"/>
        <v>6</v>
      </c>
      <c r="Q31" s="8"/>
      <c r="R31" s="1"/>
      <c r="S31" s="77" t="s">
        <v>33</v>
      </c>
      <c r="T31" s="75" t="str">
        <f>NOB2</f>
        <v>BRUNET</v>
      </c>
      <c r="U31" s="76">
        <f>VLOOKUP($U$27,resu2,6,FALSE)</f>
        <v>75</v>
      </c>
      <c r="V31" s="76">
        <f>VLOOKUP($U$27,resu2,7,FALSE)</f>
        <v>177</v>
      </c>
      <c r="W31" s="80">
        <f>U31/V31</f>
        <v>0.423728813559322</v>
      </c>
      <c r="X31" s="81">
        <f>VLOOKUP($U$27,resu2,9,FALSE)</f>
        <v>0.46296296296296297</v>
      </c>
      <c r="Y31" s="76">
        <f>VLOOKUP($U$27,resu2,10,FALSE)</f>
        <v>4</v>
      </c>
      <c r="Z31" s="76">
        <f>VLOOKUP($U$27,resu2,11,FALSE)</f>
        <v>6</v>
      </c>
    </row>
    <row r="32" spans="1:26" ht="21.75" customHeight="1">
      <c r="A32" s="229" t="s">
        <v>34</v>
      </c>
      <c r="B32" s="233"/>
      <c r="C32" s="234" t="str">
        <f>T32</f>
        <v>GRISAT</v>
      </c>
      <c r="D32" s="239" t="str">
        <f>VLOOKUP($C32,init,2,FALSE)</f>
        <v>Daniel</v>
      </c>
      <c r="E32" s="240"/>
      <c r="F32" s="256" t="str">
        <f>VLOOKUP($C32,init,4,FALSE)</f>
        <v>109360-E</v>
      </c>
      <c r="G32" s="246" t="str">
        <f>VLOOKUP($C32,init,3,FALSE)</f>
        <v>St-Gaudens</v>
      </c>
      <c r="H32" s="247"/>
      <c r="I32" s="251">
        <f t="shared" si="0"/>
        <v>73</v>
      </c>
      <c r="J32" s="251">
        <f t="shared" si="0"/>
        <v>210</v>
      </c>
      <c r="K32" s="317">
        <f>IF(J32=0,"",W32)</f>
        <v>0.3476190476190476</v>
      </c>
      <c r="L32" s="318"/>
      <c r="M32" s="311">
        <f>X32</f>
        <v>0.38461538461538464</v>
      </c>
      <c r="N32" s="312"/>
      <c r="O32" s="251">
        <v>2</v>
      </c>
      <c r="P32" s="263">
        <f t="shared" si="1"/>
        <v>4</v>
      </c>
      <c r="Q32" s="8"/>
      <c r="R32" s="1"/>
      <c r="S32" s="77" t="s">
        <v>34</v>
      </c>
      <c r="T32" s="75" t="str">
        <f>NOB3</f>
        <v>GRISAT</v>
      </c>
      <c r="U32" s="76">
        <f>VLOOKUP($U$27,resu3,6,FALSE)</f>
        <v>73</v>
      </c>
      <c r="V32" s="76">
        <f>VLOOKUP($U$27,resu3,7,FALSE)</f>
        <v>210</v>
      </c>
      <c r="W32" s="80">
        <f>U32/V32</f>
        <v>0.3476190476190476</v>
      </c>
      <c r="X32" s="81">
        <f>VLOOKUP($U$27,resu3,9,FALSE)</f>
        <v>0.38461538461538464</v>
      </c>
      <c r="Y32" s="76">
        <f>VLOOKUP($U$27,resu3,10,FALSE)</f>
        <v>10</v>
      </c>
      <c r="Z32" s="76">
        <f>VLOOKUP($U$27,resu3,11,FALSE)</f>
        <v>4</v>
      </c>
    </row>
    <row r="33" spans="1:26" ht="21.75" customHeight="1">
      <c r="A33" s="229" t="s">
        <v>35</v>
      </c>
      <c r="B33" s="233"/>
      <c r="C33" s="234" t="str">
        <f>T33</f>
        <v>BORTOLOTTO</v>
      </c>
      <c r="D33" s="239" t="str">
        <f>VLOOKUP($C33,init,2,FALSE)</f>
        <v>Roland</v>
      </c>
      <c r="E33" s="240"/>
      <c r="F33" s="256" t="str">
        <f>VLOOKUP($C33,init,4,FALSE)</f>
        <v>105243-V</v>
      </c>
      <c r="G33" s="246" t="str">
        <f>VLOOKUP($C33,init,3,FALSE)</f>
        <v>St-Gaudens</v>
      </c>
      <c r="H33" s="247"/>
      <c r="I33" s="251">
        <f t="shared" si="0"/>
        <v>60</v>
      </c>
      <c r="J33" s="251">
        <f t="shared" si="0"/>
        <v>198</v>
      </c>
      <c r="K33" s="317">
        <f>IF(J33=0,"",W33)</f>
        <v>0.30303030303030304</v>
      </c>
      <c r="L33" s="318"/>
      <c r="M33" s="311">
        <f>X33</f>
        <v>0.373134328358209</v>
      </c>
      <c r="N33" s="312"/>
      <c r="O33" s="251">
        <f t="shared" si="1"/>
        <v>4</v>
      </c>
      <c r="P33" s="263">
        <f t="shared" si="1"/>
        <v>2</v>
      </c>
      <c r="Q33" s="8"/>
      <c r="R33" s="1"/>
      <c r="S33" s="77" t="s">
        <v>35</v>
      </c>
      <c r="T33" s="75" t="str">
        <f>NOB1</f>
        <v>BORTOLOTTO</v>
      </c>
      <c r="U33" s="76">
        <f>VLOOKUP($U$27,resu1,6,FALSE)</f>
        <v>60</v>
      </c>
      <c r="V33" s="76">
        <f>VLOOKUP($U$27,resu1,7,FALSE)</f>
        <v>198</v>
      </c>
      <c r="W33" s="80">
        <f>U33/V33</f>
        <v>0.30303030303030304</v>
      </c>
      <c r="X33" s="81">
        <f>VLOOKUP($U$27,resu1,9,FALSE)</f>
        <v>0.373134328358209</v>
      </c>
      <c r="Y33" s="76">
        <f>VLOOKUP($U$27,resu1,10,FALSE)</f>
        <v>4</v>
      </c>
      <c r="Z33" s="76">
        <f>VLOOKUP($U$27,resu1,11,FALSE)</f>
        <v>2</v>
      </c>
    </row>
    <row r="34" spans="1:26" ht="21" customHeight="1" thickBot="1">
      <c r="A34" s="230" t="s">
        <v>36</v>
      </c>
      <c r="B34" s="235"/>
      <c r="C34" s="236" t="str">
        <f>T34</f>
        <v>DHUBERT</v>
      </c>
      <c r="D34" s="241" t="str">
        <f>VLOOKUP($C34,init,2,FALSE)</f>
        <v>Jean Pierre</v>
      </c>
      <c r="E34" s="242"/>
      <c r="F34" s="257" t="str">
        <f>VLOOKUP($C34,init,4,FALSE)</f>
        <v>106976-M</v>
      </c>
      <c r="G34" s="248" t="str">
        <f>VLOOKUP($C34,init,3,FALSE)</f>
        <v>St-Gaudens</v>
      </c>
      <c r="H34" s="249"/>
      <c r="I34" s="252">
        <f t="shared" si="0"/>
        <v>54</v>
      </c>
      <c r="J34" s="252">
        <f t="shared" si="0"/>
        <v>215</v>
      </c>
      <c r="K34" s="307">
        <f>IF(J34=0,"",W34)</f>
        <v>0.25116279069767444</v>
      </c>
      <c r="L34" s="308"/>
      <c r="M34" s="313" t="s">
        <v>141</v>
      </c>
      <c r="N34" s="314"/>
      <c r="O34" s="252">
        <v>2</v>
      </c>
      <c r="P34" s="264">
        <f t="shared" si="1"/>
        <v>0</v>
      </c>
      <c r="Q34" s="8"/>
      <c r="R34" s="1"/>
      <c r="S34" s="77" t="s">
        <v>36</v>
      </c>
      <c r="T34" s="75" t="str">
        <f>NOB4</f>
        <v>DHUBERT</v>
      </c>
      <c r="U34" s="76">
        <f>VLOOKUP($U$27,resu4,6,FALSE)</f>
        <v>54</v>
      </c>
      <c r="V34" s="76">
        <f>VLOOKUP($U$27,resu4,7,FALSE)</f>
        <v>215</v>
      </c>
      <c r="W34" s="80">
        <f>U34/V34</f>
        <v>0.25116279069767444</v>
      </c>
      <c r="X34" s="81">
        <f>VLOOKUP($U$27,resu4,9,FALSE)</f>
        <v>0</v>
      </c>
      <c r="Y34" s="76">
        <f>VLOOKUP($U$27,resu4,10,FALSE)</f>
        <v>10</v>
      </c>
      <c r="Z34" s="76">
        <f>VLOOKUP($U$27,resu4,11,FALSE)</f>
        <v>0</v>
      </c>
    </row>
    <row r="35" spans="1:21" ht="19.5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1"/>
      <c r="R35" s="1"/>
      <c r="S35" s="1"/>
      <c r="T35" s="1"/>
      <c r="U35" s="1"/>
    </row>
    <row r="36" spans="1:21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3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W38">
        <v>4.760869565217392</v>
      </c>
    </row>
    <row r="39" spans="1:23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W39">
        <v>4.76</v>
      </c>
    </row>
    <row r="40" spans="1:21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</sheetData>
  <sheetProtection/>
  <mergeCells count="66">
    <mergeCell ref="C7:E7"/>
    <mergeCell ref="F7:H7"/>
    <mergeCell ref="I3:J3"/>
    <mergeCell ref="I5:J5"/>
    <mergeCell ref="K3:O3"/>
    <mergeCell ref="F5:G5"/>
    <mergeCell ref="C3:E3"/>
    <mergeCell ref="C5:E5"/>
    <mergeCell ref="A2:P2"/>
    <mergeCell ref="I18:I19"/>
    <mergeCell ref="M18:M19"/>
    <mergeCell ref="O18:O19"/>
    <mergeCell ref="F18:F19"/>
    <mergeCell ref="G18:G19"/>
    <mergeCell ref="D10:F13"/>
    <mergeCell ref="D9:F9"/>
    <mergeCell ref="K5:L5"/>
    <mergeCell ref="F3:G3"/>
    <mergeCell ref="J10:J11"/>
    <mergeCell ref="J14:J15"/>
    <mergeCell ref="K7:L7"/>
    <mergeCell ref="I7:J7"/>
    <mergeCell ref="G9:I9"/>
    <mergeCell ref="I10:I11"/>
    <mergeCell ref="J9:L9"/>
    <mergeCell ref="G10:G11"/>
    <mergeCell ref="L14:L15"/>
    <mergeCell ref="A29:A30"/>
    <mergeCell ref="B29:C30"/>
    <mergeCell ref="C22:C23"/>
    <mergeCell ref="D14:D15"/>
    <mergeCell ref="F14:F15"/>
    <mergeCell ref="D18:D19"/>
    <mergeCell ref="D29:E30"/>
    <mergeCell ref="D22:D23"/>
    <mergeCell ref="F22:F23"/>
    <mergeCell ref="O14:O15"/>
    <mergeCell ref="G29:H30"/>
    <mergeCell ref="M30:N30"/>
    <mergeCell ref="K30:L30"/>
    <mergeCell ref="K29:L29"/>
    <mergeCell ref="J22:J23"/>
    <mergeCell ref="L22:L23"/>
    <mergeCell ref="G14:I17"/>
    <mergeCell ref="G22:G23"/>
    <mergeCell ref="I22:I23"/>
    <mergeCell ref="M22:O25"/>
    <mergeCell ref="A1:P1"/>
    <mergeCell ref="C10:C11"/>
    <mergeCell ref="C14:C15"/>
    <mergeCell ref="C18:C19"/>
    <mergeCell ref="L10:L11"/>
    <mergeCell ref="M10:M11"/>
    <mergeCell ref="O10:O11"/>
    <mergeCell ref="M9:O9"/>
    <mergeCell ref="M14:M15"/>
    <mergeCell ref="J18:L21"/>
    <mergeCell ref="M29:N29"/>
    <mergeCell ref="K34:L34"/>
    <mergeCell ref="M31:N31"/>
    <mergeCell ref="M32:N32"/>
    <mergeCell ref="M33:N33"/>
    <mergeCell ref="M34:N34"/>
    <mergeCell ref="K31:L31"/>
    <mergeCell ref="K32:L32"/>
    <mergeCell ref="K33:L33"/>
  </mergeCells>
  <conditionalFormatting sqref="H12 K12 N12 E16 K16 N16 N20 H20 E20 E24 H24 K24">
    <cfRule type="cellIs" priority="1" dxfId="6" operator="equal" stopIfTrue="1">
      <formula>0</formula>
    </cfRule>
    <cfRule type="cellIs" priority="2" dxfId="8" operator="equal" stopIfTrue="1">
      <formula>1</formula>
    </cfRule>
    <cfRule type="cellIs" priority="3" dxfId="4" operator="equal" stopIfTrue="1">
      <formula>2</formula>
    </cfRule>
  </conditionalFormatting>
  <printOptions horizontalCentered="1"/>
  <pageMargins left="0.1968503937007874" right="0.1968503937007874" top="0.1968503937007874" bottom="0.1968503937007874" header="0" footer="0"/>
  <pageSetup horizontalDpi="300" verticalDpi="300" orientation="landscape" paperSize="9" scale="102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6"/>
  <dimension ref="A1:M95"/>
  <sheetViews>
    <sheetView showGridLines="0" zoomScale="120" zoomScaleNormal="120" zoomScalePageLayoutView="0" workbookViewId="0" topLeftCell="A3">
      <selection activeCell="C5" sqref="C5"/>
    </sheetView>
  </sheetViews>
  <sheetFormatPr defaultColWidth="11.5546875" defaultRowHeight="15"/>
  <cols>
    <col min="1" max="1" width="3.4453125" style="0" customWidth="1"/>
    <col min="2" max="2" width="3.77734375" style="0" customWidth="1"/>
    <col min="3" max="3" width="7.88671875" style="0" customWidth="1"/>
    <col min="4" max="4" width="12.4453125" style="0" customWidth="1"/>
    <col min="5" max="5" width="5.77734375" style="0" customWidth="1"/>
    <col min="6" max="6" width="7.10546875" style="0" customWidth="1"/>
    <col min="7" max="7" width="7.99609375" style="0" customWidth="1"/>
    <col min="8" max="9" width="7.77734375" style="0" customWidth="1"/>
    <col min="10" max="10" width="5.77734375" style="0" customWidth="1"/>
    <col min="11" max="11" width="6.88671875" style="0" customWidth="1"/>
    <col min="12" max="12" width="3.88671875" style="0" customWidth="1"/>
  </cols>
  <sheetData>
    <row r="1" spans="2:12" ht="24" thickTop="1">
      <c r="B1" s="362" t="s">
        <v>59</v>
      </c>
      <c r="C1" s="363"/>
      <c r="D1" s="363"/>
      <c r="E1" s="363"/>
      <c r="F1" s="363"/>
      <c r="G1" s="363"/>
      <c r="H1" s="363"/>
      <c r="I1" s="363"/>
      <c r="J1" s="363"/>
      <c r="K1" s="363"/>
      <c r="L1" s="364"/>
    </row>
    <row r="2" spans="2:12" ht="15">
      <c r="B2" s="59"/>
      <c r="C2" s="60"/>
      <c r="D2" s="60"/>
      <c r="E2" s="60"/>
      <c r="F2" s="60"/>
      <c r="G2" s="60"/>
      <c r="H2" s="60"/>
      <c r="I2" s="60"/>
      <c r="J2" s="60"/>
      <c r="K2" s="60"/>
      <c r="L2" s="61"/>
    </row>
    <row r="3" spans="2:12" ht="16.5" thickBot="1">
      <c r="B3" s="62"/>
      <c r="C3" s="63" t="str">
        <f>design1</f>
        <v>DISTRICT</v>
      </c>
      <c r="D3" s="63"/>
      <c r="E3" s="63" t="str">
        <f>design2</f>
        <v>REGIONALE 1</v>
      </c>
      <c r="F3" s="63"/>
      <c r="G3" s="64" t="s">
        <v>57</v>
      </c>
      <c r="H3" s="65" t="str">
        <f>bill</f>
        <v>2m80</v>
      </c>
      <c r="I3" s="64" t="s">
        <v>58</v>
      </c>
      <c r="J3" s="65">
        <f>DISTANCE</f>
        <v>25</v>
      </c>
      <c r="K3" s="63" t="s">
        <v>28</v>
      </c>
      <c r="L3" s="66"/>
    </row>
    <row r="4" ht="15.75" thickTop="1"/>
    <row r="5" ht="15">
      <c r="J5" s="67" t="str">
        <f>modjeu</f>
        <v>3 BANDES</v>
      </c>
    </row>
    <row r="6" ht="15">
      <c r="B6" s="37" t="s">
        <v>60</v>
      </c>
    </row>
    <row r="7" ht="15.75">
      <c r="C7" s="58">
        <v>1</v>
      </c>
    </row>
    <row r="8" spans="3:11" ht="15">
      <c r="C8" s="37" t="s">
        <v>16</v>
      </c>
      <c r="E8" s="37" t="s">
        <v>5</v>
      </c>
      <c r="H8" s="26" t="s">
        <v>6</v>
      </c>
      <c r="J8" s="349" t="s">
        <v>67</v>
      </c>
      <c r="K8" s="349"/>
    </row>
    <row r="9" spans="3:11" ht="15.75">
      <c r="C9" s="57" t="str">
        <f>VLOOKUP($C7,posdép,2,FALSE)</f>
        <v>BORTOLOTTO</v>
      </c>
      <c r="D9" s="57"/>
      <c r="E9" s="58" t="str">
        <f>VLOOKUP($C7,posdép,4,FALSE)</f>
        <v>Roland</v>
      </c>
      <c r="G9" s="57"/>
      <c r="H9" s="47" t="str">
        <f>VLOOKUP($C7,posdép,5,FALSE)</f>
        <v>St-Gaudens</v>
      </c>
      <c r="I9" s="57"/>
      <c r="J9" s="361" t="str">
        <f>VLOOKUP($C7,posdép,6,FALSE)</f>
        <v>105243-V</v>
      </c>
      <c r="K9" s="361"/>
    </row>
    <row r="11" ht="15.75" thickBot="1"/>
    <row r="12" spans="3:11" ht="15">
      <c r="C12" s="48" t="s">
        <v>61</v>
      </c>
      <c r="D12" s="49" t="s">
        <v>62</v>
      </c>
      <c r="E12" s="50" t="s">
        <v>63</v>
      </c>
      <c r="F12" s="50" t="s">
        <v>9</v>
      </c>
      <c r="G12" s="50" t="s">
        <v>13</v>
      </c>
      <c r="H12" s="50" t="s">
        <v>14</v>
      </c>
      <c r="I12" s="50" t="s">
        <v>15</v>
      </c>
      <c r="J12" s="50" t="s">
        <v>10</v>
      </c>
      <c r="K12" s="51" t="s">
        <v>66</v>
      </c>
    </row>
    <row r="13" spans="1:13" ht="15">
      <c r="A13">
        <v>1</v>
      </c>
      <c r="C13" s="52">
        <f>IF(C7=1,1,IF(C7=4,1,2))</f>
        <v>1</v>
      </c>
      <c r="D13" s="53" t="str">
        <f>VLOOKUP($C13,tours,11,FALSE)</f>
        <v>DHUBERT</v>
      </c>
      <c r="E13" s="54" t="str">
        <f>VLOOKUP($C13,tours,6,FALSE)</f>
        <v>V1</v>
      </c>
      <c r="F13" s="54">
        <f>VLOOKUP($C13,tours,4,FALSE)</f>
        <v>25</v>
      </c>
      <c r="G13" s="54">
        <f>VLOOKUP($C13,tours,5,FALSE)</f>
        <v>67</v>
      </c>
      <c r="H13" s="268">
        <f>IF(G13="","",F13/G13)</f>
        <v>0.373134328358209</v>
      </c>
      <c r="I13" s="268">
        <f>IF(F13=DISTANCE,H13,"-")</f>
        <v>0.373134328358209</v>
      </c>
      <c r="J13" s="54">
        <f>VLOOKUP($C13,tours,7,FALSE)</f>
        <v>2</v>
      </c>
      <c r="K13" s="55">
        <f>VLOOKUP($C13,tours,8,FALSE)</f>
        <v>2</v>
      </c>
      <c r="M13">
        <v>1</v>
      </c>
    </row>
    <row r="14" spans="1:13" ht="15">
      <c r="A14">
        <v>2</v>
      </c>
      <c r="C14" s="52">
        <f>VLOOKUP($C13,tours,9,FALSE)</f>
        <v>3</v>
      </c>
      <c r="D14" s="53" t="str">
        <f>IF(VLOOKUP($C14,tours,2,FALSE)=$C9,VLOOKUP($C14,tours,11,FALSE),VLOOKUP($C14,tours,2,FALSE))</f>
        <v>BRUNET</v>
      </c>
      <c r="E14" s="54" t="str">
        <f>IF(VLOOKUP($C14,tours,2,FALSE)=$C9,VLOOKUP($C14,tours,6,FALSE),VLOOKUP($C14,tours,15,FALSE))</f>
        <v>P3</v>
      </c>
      <c r="F14" s="54">
        <f>IF(VLOOKUP($C14,tours,2,FALSE)=$C9,VLOOKUP($C14,tours,4,FALSE),VLOOKUP($C14,tours,13,FALSE))</f>
        <v>17</v>
      </c>
      <c r="G14" s="54">
        <f>IF(VLOOKUP($C14,tours,2,FALSE)=$C9,VLOOKUP($C14,tours,5,FALSE),VLOOKUP($C14,tours,14,FALSE))</f>
        <v>66</v>
      </c>
      <c r="H14" s="268">
        <f>IF(G14="","",F14/G14)</f>
        <v>0.25757575757575757</v>
      </c>
      <c r="I14" s="268" t="str">
        <f>IF(F14=DISTANCE,H14,"-")</f>
        <v>-</v>
      </c>
      <c r="J14" s="54">
        <f>IF(VLOOKUP($C14,tours,2,FALSE)=$C9,VLOOKUP($C14,tours,7,FALSE),VLOOKUP($C14,tours,17,FALSE))</f>
        <v>2</v>
      </c>
      <c r="K14" s="55">
        <f>IF(VLOOKUP($C14,tours,2,FALSE)=$C9,VLOOKUP($C14,tours,8,FALSE),VLOOKUP($C14,tours,18,FALSE))</f>
        <v>0</v>
      </c>
      <c r="M14">
        <v>2</v>
      </c>
    </row>
    <row r="15" spans="1:13" ht="15">
      <c r="A15">
        <v>3</v>
      </c>
      <c r="C15" s="52">
        <f>IF(VLOOKUP($C14,tours,2,FALSE)=$C9,VLOOKUP($C14,tours,9,FALSE),VLOOKUP($C14,tours,20,FALSE))</f>
        <v>5</v>
      </c>
      <c r="D15" s="53" t="str">
        <f>IF(VLOOKUP($C15,tours,2,FALSE)=$C9,VLOOKUP($C15,tours,11,FALSE),VLOOKUP($C15,tours,2,FALSE))</f>
        <v>GRISAT</v>
      </c>
      <c r="E15" s="54" t="str">
        <f>IF(VLOOKUP($C15,tours,2,FALSE)=$C9,VLOOKUP($C15,tours,6,FALSE),VLOOKUP($C15,tours,15,FALSE))</f>
        <v>P5</v>
      </c>
      <c r="F15" s="54">
        <f>IF(VLOOKUP($C15,tours,2,FALSE)=$C9,VLOOKUP($C15,tours,4,FALSE),VLOOKUP($C15,tours,13,FALSE))</f>
        <v>18</v>
      </c>
      <c r="G15" s="54">
        <f>IF(VLOOKUP($C15,tours,2,FALSE)=$C9,VLOOKUP($C15,tours,5,FALSE),VLOOKUP($C15,tours,14,FALSE))</f>
        <v>65</v>
      </c>
      <c r="H15" s="268">
        <f>IF(G15="","",F15/G15)</f>
        <v>0.27692307692307694</v>
      </c>
      <c r="I15" s="268" t="str">
        <f>IF(F15=DISTANCE,H15,"-")</f>
        <v>-</v>
      </c>
      <c r="J15" s="54">
        <f>IF(VLOOKUP($C15,tours,2,FALSE)=$C9,VLOOKUP($C15,tours,7,FALSE),VLOOKUP($C15,tours,17,FALSE))</f>
        <v>4</v>
      </c>
      <c r="K15" s="55">
        <f>IF(VLOOKUP($C15,tours,2,FALSE)=$C9,VLOOKUP($C15,tours,8,FALSE),VLOOKUP($C15,tours,18,FALSE))</f>
        <v>0</v>
      </c>
      <c r="M15">
        <v>3</v>
      </c>
    </row>
    <row r="16" spans="3:11" ht="15.75" thickBot="1">
      <c r="C16" s="52"/>
      <c r="D16" s="53"/>
      <c r="E16" s="54"/>
      <c r="F16" s="54"/>
      <c r="G16" s="54"/>
      <c r="H16" s="268"/>
      <c r="I16" s="268"/>
      <c r="J16" s="54"/>
      <c r="K16" s="55"/>
    </row>
    <row r="17" spans="1:11" ht="15.75" thickBot="1">
      <c r="A17" s="38" t="s">
        <v>68</v>
      </c>
      <c r="C17" s="86"/>
      <c r="D17" s="87" t="s">
        <v>64</v>
      </c>
      <c r="E17" s="87"/>
      <c r="F17" s="88">
        <f>SUM(F13:F15)</f>
        <v>60</v>
      </c>
      <c r="G17" s="88">
        <f>SUM(G13:G15)</f>
        <v>198</v>
      </c>
      <c r="H17" s="269">
        <f>IF(G17=0,"",F17/G17)</f>
        <v>0.30303030303030304</v>
      </c>
      <c r="I17" s="269">
        <f>MAX(I13:I15)</f>
        <v>0.373134328358209</v>
      </c>
      <c r="J17" s="89">
        <f>MAX(J13:J15)</f>
        <v>4</v>
      </c>
      <c r="K17" s="90">
        <f>SUM(K13:K15)</f>
        <v>2</v>
      </c>
    </row>
    <row r="19" spans="3:5" ht="15.75">
      <c r="C19" s="57" t="s">
        <v>65</v>
      </c>
      <c r="D19" s="57"/>
      <c r="E19" s="57" t="str">
        <f>VLOOKUP($C9,term,2,FALSE)</f>
        <v>3ème</v>
      </c>
    </row>
    <row r="21" spans="3:9" ht="23.25">
      <c r="C21" s="56" t="str">
        <f>lieue</f>
        <v>BILLARD CLUB SAINT GAUDENS</v>
      </c>
      <c r="D21" s="56"/>
      <c r="E21" s="56"/>
      <c r="F21" s="56"/>
      <c r="G21" s="56"/>
      <c r="I21" t="str">
        <f>dat</f>
        <v> </v>
      </c>
    </row>
    <row r="24" ht="15.75" thickBot="1"/>
    <row r="25" spans="2:12" ht="24" thickTop="1">
      <c r="B25" s="362" t="s">
        <v>59</v>
      </c>
      <c r="C25" s="363"/>
      <c r="D25" s="363"/>
      <c r="E25" s="363"/>
      <c r="F25" s="363"/>
      <c r="G25" s="363"/>
      <c r="H25" s="363"/>
      <c r="I25" s="363"/>
      <c r="J25" s="363"/>
      <c r="K25" s="363"/>
      <c r="L25" s="364"/>
    </row>
    <row r="26" spans="2:12" ht="15">
      <c r="B26" s="59"/>
      <c r="C26" s="60"/>
      <c r="D26" s="60"/>
      <c r="E26" s="60"/>
      <c r="F26" s="60"/>
      <c r="G26" s="60"/>
      <c r="H26" s="60"/>
      <c r="I26" s="60"/>
      <c r="J26" s="60"/>
      <c r="K26" s="60"/>
      <c r="L26" s="61"/>
    </row>
    <row r="27" spans="2:12" ht="16.5" thickBot="1">
      <c r="B27" s="62"/>
      <c r="C27" s="63" t="str">
        <f>design1</f>
        <v>DISTRICT</v>
      </c>
      <c r="D27" s="63"/>
      <c r="E27" s="63" t="str">
        <f>design2</f>
        <v>REGIONALE 1</v>
      </c>
      <c r="F27" s="63"/>
      <c r="G27" s="64" t="s">
        <v>57</v>
      </c>
      <c r="H27" s="65" t="str">
        <f>bill</f>
        <v>2m80</v>
      </c>
      <c r="I27" s="64" t="s">
        <v>58</v>
      </c>
      <c r="J27" s="65">
        <f>DISTANCE</f>
        <v>25</v>
      </c>
      <c r="K27" s="63" t="s">
        <v>28</v>
      </c>
      <c r="L27" s="66"/>
    </row>
    <row r="28" ht="15.75" thickTop="1"/>
    <row r="29" ht="15">
      <c r="J29" s="67" t="str">
        <f>modjeu</f>
        <v>3 BANDES</v>
      </c>
    </row>
    <row r="30" ht="15">
      <c r="B30" s="37" t="s">
        <v>60</v>
      </c>
    </row>
    <row r="31" ht="15.75">
      <c r="C31" s="58">
        <v>2</v>
      </c>
    </row>
    <row r="32" spans="3:11" ht="15">
      <c r="C32" s="37" t="s">
        <v>16</v>
      </c>
      <c r="E32" s="37" t="s">
        <v>5</v>
      </c>
      <c r="H32" s="26" t="s">
        <v>6</v>
      </c>
      <c r="J32" s="349" t="s">
        <v>67</v>
      </c>
      <c r="K32" s="349"/>
    </row>
    <row r="33" spans="3:11" ht="15.75">
      <c r="C33" s="57" t="str">
        <f>VLOOKUP($C31,posdép,2,FALSE)</f>
        <v>BRUNET</v>
      </c>
      <c r="D33" s="57"/>
      <c r="E33" s="58" t="str">
        <f>VLOOKUP($C31,posdép,4,FALSE)</f>
        <v>Christian</v>
      </c>
      <c r="G33" s="57"/>
      <c r="H33" s="47" t="str">
        <f>VLOOKUP($C31,posdép,5,FALSE)</f>
        <v>St-Gaudens</v>
      </c>
      <c r="I33" s="57"/>
      <c r="J33" s="361" t="str">
        <f>VLOOKUP($C31,posdép,6,FALSE)</f>
        <v>109368-M</v>
      </c>
      <c r="K33" s="361"/>
    </row>
    <row r="35" ht="15.75" thickBot="1"/>
    <row r="36" spans="3:11" ht="15">
      <c r="C36" s="48" t="s">
        <v>61</v>
      </c>
      <c r="D36" s="49" t="s">
        <v>62</v>
      </c>
      <c r="E36" s="50" t="s">
        <v>63</v>
      </c>
      <c r="F36" s="50" t="s">
        <v>9</v>
      </c>
      <c r="G36" s="50" t="s">
        <v>13</v>
      </c>
      <c r="H36" s="50" t="s">
        <v>14</v>
      </c>
      <c r="I36" s="50" t="s">
        <v>15</v>
      </c>
      <c r="J36" s="50" t="s">
        <v>10</v>
      </c>
      <c r="K36" s="51" t="s">
        <v>66</v>
      </c>
    </row>
    <row r="37" spans="1:13" ht="15">
      <c r="A37">
        <v>1</v>
      </c>
      <c r="C37" s="52">
        <f>IF(C31=1,1,IF(C31=4,1,2))</f>
        <v>2</v>
      </c>
      <c r="D37" s="53" t="str">
        <f>VLOOKUP($C37,tours,11,FALSE)</f>
        <v>GRISAT</v>
      </c>
      <c r="E37" s="54" t="str">
        <f>VLOOKUP($C37,tours,6,FALSE)</f>
        <v>V2</v>
      </c>
      <c r="F37" s="54">
        <f>VLOOKUP($C37,tours,4,FALSE)</f>
        <v>25</v>
      </c>
      <c r="G37" s="54">
        <f>VLOOKUP($C37,tours,5,FALSE)</f>
        <v>54</v>
      </c>
      <c r="H37" s="268">
        <f>IF(G37="","",F37/G37)</f>
        <v>0.46296296296296297</v>
      </c>
      <c r="I37" s="268">
        <f>IF(F37=DISTANCE,H37,"-")</f>
        <v>0.46296296296296297</v>
      </c>
      <c r="J37" s="54">
        <f>VLOOKUP($C37,tours,7,FALSE)</f>
        <v>4</v>
      </c>
      <c r="K37" s="55">
        <f>VLOOKUP($C37,tours,8,FALSE)</f>
        <v>2</v>
      </c>
      <c r="M37">
        <v>1</v>
      </c>
    </row>
    <row r="38" spans="1:13" ht="15">
      <c r="A38">
        <v>2</v>
      </c>
      <c r="C38" s="52">
        <f>VLOOKUP($C37,tours,9,FALSE)</f>
        <v>3</v>
      </c>
      <c r="D38" s="53" t="str">
        <f>IF(VLOOKUP($C38,tours,2,FALSE)=$C33,VLOOKUP($C38,tours,11,FALSE),VLOOKUP($C38,tours,2,FALSE))</f>
        <v>BORTOLOTTO</v>
      </c>
      <c r="E38" s="54" t="str">
        <f>IF(VLOOKUP($C38,tours,2,FALSE)=$C33,VLOOKUP($C38,tours,6,FALSE),VLOOKUP($C38,tours,15,FALSE))</f>
        <v>V3</v>
      </c>
      <c r="F38" s="54">
        <f>IF(VLOOKUP($C38,tours,2,FALSE)=$C33,VLOOKUP($C38,tours,4,FALSE),VLOOKUP($C38,tours,13,FALSE))</f>
        <v>25</v>
      </c>
      <c r="G38" s="54">
        <f>IF(VLOOKUP($C38,tours,2,FALSE)=$C33,VLOOKUP($C38,tours,5,FALSE),VLOOKUP($C38,tours,14,FALSE))</f>
        <v>66</v>
      </c>
      <c r="H38" s="268">
        <f>IF(G38="","",F38/G38)</f>
        <v>0.3787878787878788</v>
      </c>
      <c r="I38" s="268">
        <f>IF(F38=DISTANCE,H38,"-")</f>
        <v>0.3787878787878788</v>
      </c>
      <c r="J38" s="54">
        <f>IF(VLOOKUP($C38,tours,2,FALSE)=$C33,VLOOKUP($C38,tours,7,FALSE),VLOOKUP($C38,tours,17,FALSE))</f>
        <v>1</v>
      </c>
      <c r="K38" s="55">
        <f>IF(VLOOKUP($C38,tours,2,FALSE)=$C33,VLOOKUP($C38,tours,8,FALSE),VLOOKUP($C38,tours,18,FALSE))</f>
        <v>2</v>
      </c>
      <c r="M38">
        <v>2</v>
      </c>
    </row>
    <row r="39" spans="1:13" ht="15">
      <c r="A39">
        <v>3</v>
      </c>
      <c r="C39" s="52">
        <f>IF(VLOOKUP($C38,tours,2,FALSE)=$C33,VLOOKUP($C38,tours,9,FALSE),VLOOKUP($C38,tours,20,FALSE))</f>
        <v>6</v>
      </c>
      <c r="D39" s="53" t="str">
        <f>IF(VLOOKUP($C39,tours,2,FALSE)=$C33,VLOOKUP($C39,tours,11,FALSE),VLOOKUP($C39,tours,2,FALSE))</f>
        <v>DHUBERT</v>
      </c>
      <c r="E39" s="54" t="str">
        <f>IF(VLOOKUP($C39,tours,2,FALSE)=$C33,VLOOKUP($C39,tours,6,FALSE),VLOOKUP($C39,tours,15,FALSE))</f>
        <v>V6</v>
      </c>
      <c r="F39" s="54">
        <f>IF(VLOOKUP($C39,tours,2,FALSE)=$C33,VLOOKUP($C39,tours,4,FALSE),VLOOKUP($C39,tours,13,FALSE))</f>
        <v>25</v>
      </c>
      <c r="G39" s="54">
        <f>IF(VLOOKUP($C39,tours,2,FALSE)=$C33,VLOOKUP($C39,tours,5,FALSE),VLOOKUP($C39,tours,14,FALSE))</f>
        <v>57</v>
      </c>
      <c r="H39" s="268">
        <f>IF(G39="","",F39/G39)</f>
        <v>0.43859649122807015</v>
      </c>
      <c r="I39" s="268">
        <f>IF(F39=DISTANCE,H39,"-")</f>
        <v>0.43859649122807015</v>
      </c>
      <c r="J39" s="54">
        <f>IF(VLOOKUP($C39,tours,2,FALSE)=$C33,VLOOKUP($C39,tours,7,FALSE),VLOOKUP($C39,tours,17,FALSE))</f>
        <v>2</v>
      </c>
      <c r="K39" s="55">
        <f>IF(VLOOKUP($C39,tours,2,FALSE)=$C33,VLOOKUP($C39,tours,8,FALSE),VLOOKUP($C39,tours,18,FALSE))</f>
        <v>2</v>
      </c>
      <c r="M39">
        <v>3</v>
      </c>
    </row>
    <row r="40" spans="3:11" ht="15.75" thickBot="1">
      <c r="C40" s="52"/>
      <c r="D40" s="53"/>
      <c r="E40" s="54"/>
      <c r="F40" s="54"/>
      <c r="G40" s="54"/>
      <c r="H40" s="268"/>
      <c r="I40" s="268"/>
      <c r="J40" s="54"/>
      <c r="K40" s="55"/>
    </row>
    <row r="41" spans="1:11" ht="15.75" thickBot="1">
      <c r="A41" s="38" t="s">
        <v>68</v>
      </c>
      <c r="C41" s="86"/>
      <c r="D41" s="87" t="s">
        <v>64</v>
      </c>
      <c r="E41" s="87"/>
      <c r="F41" s="88">
        <f>SUM(F37:F39)</f>
        <v>75</v>
      </c>
      <c r="G41" s="88">
        <f>SUM(G37:G39)</f>
        <v>177</v>
      </c>
      <c r="H41" s="269">
        <f>IF(G41=0,"",F41/G41)</f>
        <v>0.423728813559322</v>
      </c>
      <c r="I41" s="269">
        <f>MAX(I37:I39)</f>
        <v>0.46296296296296297</v>
      </c>
      <c r="J41" s="89">
        <f>MAX(J37:J39)</f>
        <v>4</v>
      </c>
      <c r="K41" s="90">
        <f>SUM(K37:K39)</f>
        <v>6</v>
      </c>
    </row>
    <row r="43" spans="3:5" ht="15.75">
      <c r="C43" s="57" t="s">
        <v>65</v>
      </c>
      <c r="D43" s="57"/>
      <c r="E43" s="57" t="str">
        <f>VLOOKUP($C33,term,2,FALSE)</f>
        <v>1er</v>
      </c>
    </row>
    <row r="45" spans="3:9" ht="23.25">
      <c r="C45" s="56" t="str">
        <f>lieue</f>
        <v>BILLARD CLUB SAINT GAUDENS</v>
      </c>
      <c r="D45" s="56"/>
      <c r="E45" s="56"/>
      <c r="F45" s="56"/>
      <c r="G45" s="56"/>
      <c r="I45" t="str">
        <f>dat</f>
        <v> </v>
      </c>
    </row>
    <row r="50" ht="15.75" thickBot="1"/>
    <row r="51" spans="2:12" ht="24" thickTop="1">
      <c r="B51" s="362" t="s">
        <v>59</v>
      </c>
      <c r="C51" s="363"/>
      <c r="D51" s="363"/>
      <c r="E51" s="363"/>
      <c r="F51" s="363"/>
      <c r="G51" s="363"/>
      <c r="H51" s="363"/>
      <c r="I51" s="363"/>
      <c r="J51" s="363"/>
      <c r="K51" s="363"/>
      <c r="L51" s="364"/>
    </row>
    <row r="52" spans="2:12" ht="15">
      <c r="B52" s="59"/>
      <c r="C52" s="60"/>
      <c r="D52" s="60"/>
      <c r="E52" s="60"/>
      <c r="F52" s="60"/>
      <c r="G52" s="60"/>
      <c r="H52" s="60"/>
      <c r="I52" s="60"/>
      <c r="J52" s="60"/>
      <c r="K52" s="60"/>
      <c r="L52" s="61"/>
    </row>
    <row r="53" spans="2:12" ht="16.5" thickBot="1">
      <c r="B53" s="62"/>
      <c r="C53" s="63" t="str">
        <f>design1</f>
        <v>DISTRICT</v>
      </c>
      <c r="D53" s="63"/>
      <c r="E53" s="63" t="str">
        <f>design2</f>
        <v>REGIONALE 1</v>
      </c>
      <c r="F53" s="63"/>
      <c r="G53" s="64" t="s">
        <v>57</v>
      </c>
      <c r="H53" s="65" t="str">
        <f>bill</f>
        <v>2m80</v>
      </c>
      <c r="I53" s="64" t="s">
        <v>58</v>
      </c>
      <c r="J53" s="65">
        <f>DISTANCE</f>
        <v>25</v>
      </c>
      <c r="K53" s="63" t="s">
        <v>28</v>
      </c>
      <c r="L53" s="66"/>
    </row>
    <row r="54" ht="15.75" thickTop="1"/>
    <row r="55" ht="15">
      <c r="J55" s="67" t="str">
        <f>modjeu</f>
        <v>3 BANDES</v>
      </c>
    </row>
    <row r="56" ht="15">
      <c r="B56" s="37" t="s">
        <v>60</v>
      </c>
    </row>
    <row r="57" ht="15.75">
      <c r="C57" s="58">
        <v>3</v>
      </c>
    </row>
    <row r="58" spans="3:11" ht="15">
      <c r="C58" s="37" t="s">
        <v>16</v>
      </c>
      <c r="E58" s="37" t="s">
        <v>5</v>
      </c>
      <c r="H58" s="26" t="s">
        <v>6</v>
      </c>
      <c r="J58" s="349" t="s">
        <v>67</v>
      </c>
      <c r="K58" s="349"/>
    </row>
    <row r="59" spans="3:11" ht="15.75">
      <c r="C59" s="57" t="str">
        <f>VLOOKUP($C57,posdép,2,FALSE)</f>
        <v>GRISAT</v>
      </c>
      <c r="D59" s="57"/>
      <c r="E59" s="58" t="str">
        <f>VLOOKUP($C57,posdép,4,FALSE)</f>
        <v>Daniel</v>
      </c>
      <c r="G59" s="57"/>
      <c r="H59" s="47" t="str">
        <f>VLOOKUP($C57,posdép,5,FALSE)</f>
        <v>St-Gaudens</v>
      </c>
      <c r="I59" s="57"/>
      <c r="J59" s="361" t="str">
        <f>VLOOKUP($C57,posdép,6,FALSE)</f>
        <v>109360-E</v>
      </c>
      <c r="K59" s="361"/>
    </row>
    <row r="61" ht="15.75" thickBot="1"/>
    <row r="62" spans="3:11" ht="15">
      <c r="C62" s="48" t="s">
        <v>61</v>
      </c>
      <c r="D62" s="49" t="s">
        <v>62</v>
      </c>
      <c r="E62" s="50" t="s">
        <v>63</v>
      </c>
      <c r="F62" s="50" t="s">
        <v>9</v>
      </c>
      <c r="G62" s="50" t="s">
        <v>13</v>
      </c>
      <c r="H62" s="50" t="s">
        <v>14</v>
      </c>
      <c r="I62" s="50" t="s">
        <v>15</v>
      </c>
      <c r="J62" s="50" t="s">
        <v>10</v>
      </c>
      <c r="K62" s="51" t="s">
        <v>66</v>
      </c>
    </row>
    <row r="63" spans="1:13" ht="15">
      <c r="A63">
        <v>1</v>
      </c>
      <c r="C63" s="52">
        <f>IF(C57=1,1,IF(C57=4,1,2))</f>
        <v>2</v>
      </c>
      <c r="D63" s="53" t="str">
        <f>VLOOKUP($C63,tours,2,FALSE)</f>
        <v>BRUNET</v>
      </c>
      <c r="E63" s="54" t="str">
        <f>VLOOKUP($C63,tours,15,FALSE)</f>
        <v>P2</v>
      </c>
      <c r="F63" s="54">
        <f>VLOOKUP($C63,tours,13,FALSE)</f>
        <v>23</v>
      </c>
      <c r="G63" s="54">
        <f>VLOOKUP($C63,tours,14,FALSE)</f>
        <v>54</v>
      </c>
      <c r="H63" s="268">
        <f>IF(G63="","",F63/G63)</f>
        <v>0.42592592592592593</v>
      </c>
      <c r="I63" s="268" t="str">
        <f>IF(F63=DISTANCE,H63,"-")</f>
        <v>-</v>
      </c>
      <c r="J63" s="54">
        <f>VLOOKUP($C63,tours,17,FALSE)</f>
        <v>2</v>
      </c>
      <c r="K63" s="55">
        <f>VLOOKUP($C63,tours,18,FALSE)</f>
        <v>0</v>
      </c>
      <c r="M63">
        <v>1</v>
      </c>
    </row>
    <row r="64" spans="1:13" ht="15">
      <c r="A64">
        <v>2</v>
      </c>
      <c r="C64" s="52">
        <f>VLOOKUP($C63,tours,20,FALSE)</f>
        <v>4</v>
      </c>
      <c r="D64" s="53" t="str">
        <f>IF(VLOOKUP($C64,tours,2,FALSE)=$C59,VLOOKUP($C64,tours,11,FALSE),VLOOKUP($C64,tours,2,FALSE))</f>
        <v>DHUBERT</v>
      </c>
      <c r="E64" s="54" t="str">
        <f>IF(VLOOKUP($C64,tours,2,FALSE)=$C59,VLOOKUP($C64,tours,6,FALSE),VLOOKUP($C64,tours,15,FALSE))</f>
        <v>V4</v>
      </c>
      <c r="F64" s="54">
        <f>IF(VLOOKUP($C64,tours,2,FALSE)=$C59,VLOOKUP($C64,tours,4,FALSE),VLOOKUP($C64,tours,13,FALSE))</f>
        <v>25</v>
      </c>
      <c r="G64" s="54">
        <f>IF(VLOOKUP($C64,tours,2,FALSE)=$C59,VLOOKUP($C64,tours,5,FALSE),VLOOKUP($C64,tours,14,FALSE))</f>
        <v>91</v>
      </c>
      <c r="H64" s="268">
        <f>IF(G64="","",F64/G64)</f>
        <v>0.27472527472527475</v>
      </c>
      <c r="I64" s="268">
        <f>IF(F64=DISTANCE,H64,"-")</f>
        <v>0.27472527472527475</v>
      </c>
      <c r="J64" s="54">
        <f>IF(VLOOKUP($C64,tours,2,FALSE)=$C59,VLOOKUP($C64,tours,7,FALSE),VLOOKUP($C64,tours,17,FALSE))</f>
        <v>10</v>
      </c>
      <c r="K64" s="55">
        <f>IF(VLOOKUP($C64,tours,2,FALSE)=$C59,VLOOKUP($C64,tours,8,FALSE),VLOOKUP($C64,tours,18,FALSE))</f>
        <v>2</v>
      </c>
      <c r="M64">
        <v>2</v>
      </c>
    </row>
    <row r="65" spans="1:13" ht="15">
      <c r="A65">
        <v>3</v>
      </c>
      <c r="C65" s="52">
        <f>IF(VLOOKUP($C64,tours,2,FALSE)=$C59,VLOOKUP($C64,tours,9,FALSE),VLOOKUP($C64,tours,20,FALSE))</f>
        <v>5</v>
      </c>
      <c r="D65" s="53" t="str">
        <f>IF(VLOOKUP($C65,tours,2,FALSE)=$C59,VLOOKUP($C65,tours,11,FALSE),VLOOKUP($C65,tours,2,FALSE))</f>
        <v>BORTOLOTTO</v>
      </c>
      <c r="E65" s="54" t="str">
        <f>IF(VLOOKUP($C65,tours,2,FALSE)=$C59,VLOOKUP($C65,tours,6,FALSE),VLOOKUP($C65,tours,15,FALSE))</f>
        <v>V5</v>
      </c>
      <c r="F65" s="54">
        <f>IF(VLOOKUP($C65,tours,2,FALSE)=$C59,VLOOKUP($C65,tours,4,FALSE),VLOOKUP($C65,tours,13,FALSE))</f>
        <v>25</v>
      </c>
      <c r="G65" s="54">
        <f>IF(VLOOKUP($C65,tours,2,FALSE)=$C59,VLOOKUP($C65,tours,5,FALSE),VLOOKUP($C65,tours,14,FALSE))</f>
        <v>65</v>
      </c>
      <c r="H65" s="268">
        <f>IF(G65="","",F65/G65)</f>
        <v>0.38461538461538464</v>
      </c>
      <c r="I65" s="268">
        <f>IF(F65=DISTANCE,H65,"-")</f>
        <v>0.38461538461538464</v>
      </c>
      <c r="J65" s="54">
        <f>IF(VLOOKUP($C65,tours,2,FALSE)=$C59,VLOOKUP($C65,tours,7,FALSE),VLOOKUP($C65,tours,17,FALSE))</f>
        <v>2</v>
      </c>
      <c r="K65" s="55">
        <f>IF(VLOOKUP($C65,tours,2,FALSE)=$C59,VLOOKUP($C65,tours,8,FALSE),VLOOKUP($C65,tours,18,FALSE))</f>
        <v>2</v>
      </c>
      <c r="M65">
        <v>3</v>
      </c>
    </row>
    <row r="66" spans="3:11" ht="15.75" thickBot="1">
      <c r="C66" s="52"/>
      <c r="D66" s="53"/>
      <c r="E66" s="54"/>
      <c r="F66" s="54"/>
      <c r="G66" s="54"/>
      <c r="H66" s="268"/>
      <c r="I66" s="268"/>
      <c r="J66" s="54"/>
      <c r="K66" s="55"/>
    </row>
    <row r="67" spans="1:11" ht="15.75" thickBot="1">
      <c r="A67" s="38" t="s">
        <v>68</v>
      </c>
      <c r="C67" s="86"/>
      <c r="D67" s="87" t="s">
        <v>64</v>
      </c>
      <c r="E67" s="87"/>
      <c r="F67" s="88">
        <f>SUM(F63:F65)</f>
        <v>73</v>
      </c>
      <c r="G67" s="88">
        <f>SUM(G63:G65)</f>
        <v>210</v>
      </c>
      <c r="H67" s="269">
        <f>IF(G67=0,"",F67/G67)</f>
        <v>0.3476190476190476</v>
      </c>
      <c r="I67" s="269">
        <f>MAX(I63:I65)</f>
        <v>0.38461538461538464</v>
      </c>
      <c r="J67" s="89">
        <f>MAX(J63:J65)</f>
        <v>10</v>
      </c>
      <c r="K67" s="90">
        <f>SUM(K63:K65)</f>
        <v>4</v>
      </c>
    </row>
    <row r="69" spans="3:5" ht="15.75">
      <c r="C69" s="57" t="s">
        <v>65</v>
      </c>
      <c r="D69" s="57"/>
      <c r="E69" s="57" t="str">
        <f>VLOOKUP($C59,term,2,FALSE)</f>
        <v>2ème</v>
      </c>
    </row>
    <row r="71" spans="3:9" ht="23.25">
      <c r="C71" s="56" t="str">
        <f>lieue</f>
        <v>BILLARD CLUB SAINT GAUDENS</v>
      </c>
      <c r="D71" s="56"/>
      <c r="E71" s="56"/>
      <c r="F71" s="56"/>
      <c r="G71" s="56"/>
      <c r="I71" t="str">
        <f>dat</f>
        <v> </v>
      </c>
    </row>
    <row r="74" ht="15.75" thickBot="1"/>
    <row r="75" spans="2:12" ht="24" thickTop="1">
      <c r="B75" s="362" t="s">
        <v>59</v>
      </c>
      <c r="C75" s="363"/>
      <c r="D75" s="363"/>
      <c r="E75" s="363"/>
      <c r="F75" s="363"/>
      <c r="G75" s="363"/>
      <c r="H75" s="363"/>
      <c r="I75" s="363"/>
      <c r="J75" s="363"/>
      <c r="K75" s="363"/>
      <c r="L75" s="364"/>
    </row>
    <row r="76" spans="2:12" ht="15">
      <c r="B76" s="59"/>
      <c r="C76" s="60"/>
      <c r="D76" s="60"/>
      <c r="E76" s="60"/>
      <c r="F76" s="60"/>
      <c r="G76" s="60"/>
      <c r="H76" s="60"/>
      <c r="I76" s="60"/>
      <c r="J76" s="60"/>
      <c r="K76" s="60"/>
      <c r="L76" s="61"/>
    </row>
    <row r="77" spans="2:12" ht="16.5" thickBot="1">
      <c r="B77" s="62"/>
      <c r="C77" s="63" t="str">
        <f>design1</f>
        <v>DISTRICT</v>
      </c>
      <c r="D77" s="63"/>
      <c r="E77" s="63" t="str">
        <f>design2</f>
        <v>REGIONALE 1</v>
      </c>
      <c r="F77" s="63"/>
      <c r="G77" s="64" t="s">
        <v>57</v>
      </c>
      <c r="H77" s="65" t="str">
        <f>bill</f>
        <v>2m80</v>
      </c>
      <c r="I77" s="64" t="s">
        <v>58</v>
      </c>
      <c r="J77" s="65">
        <f>DISTANCE</f>
        <v>25</v>
      </c>
      <c r="K77" s="63" t="s">
        <v>28</v>
      </c>
      <c r="L77" s="66"/>
    </row>
    <row r="78" ht="15.75" thickTop="1"/>
    <row r="79" ht="15">
      <c r="J79" s="67" t="str">
        <f>modjeu</f>
        <v>3 BANDES</v>
      </c>
    </row>
    <row r="80" ht="15">
      <c r="B80" s="37" t="s">
        <v>60</v>
      </c>
    </row>
    <row r="81" ht="15.75">
      <c r="C81" s="58">
        <v>4</v>
      </c>
    </row>
    <row r="82" spans="3:11" ht="15">
      <c r="C82" s="37" t="s">
        <v>16</v>
      </c>
      <c r="E82" s="37" t="s">
        <v>5</v>
      </c>
      <c r="H82" s="26" t="s">
        <v>6</v>
      </c>
      <c r="J82" s="349" t="s">
        <v>67</v>
      </c>
      <c r="K82" s="349"/>
    </row>
    <row r="83" spans="3:11" ht="15.75">
      <c r="C83" s="57" t="str">
        <f>VLOOKUP($C81,posdép,2,FALSE)</f>
        <v>DHUBERT</v>
      </c>
      <c r="D83" s="57"/>
      <c r="E83" s="58" t="str">
        <f>VLOOKUP($C81,posdép,4,FALSE)</f>
        <v>Jean Pierre</v>
      </c>
      <c r="G83" s="57"/>
      <c r="H83" s="47" t="str">
        <f>VLOOKUP($C81,posdép,5,FALSE)</f>
        <v>St-Gaudens</v>
      </c>
      <c r="I83" s="57"/>
      <c r="J83" s="361" t="str">
        <f>VLOOKUP($C81,posdép,6,FALSE)</f>
        <v>106976-M</v>
      </c>
      <c r="K83" s="361"/>
    </row>
    <row r="85" ht="15.75" thickBot="1"/>
    <row r="86" spans="3:11" ht="15">
      <c r="C86" s="48" t="s">
        <v>61</v>
      </c>
      <c r="D86" s="49" t="s">
        <v>62</v>
      </c>
      <c r="E86" s="50" t="s">
        <v>63</v>
      </c>
      <c r="F86" s="50" t="s">
        <v>9</v>
      </c>
      <c r="G86" s="50" t="s">
        <v>13</v>
      </c>
      <c r="H86" s="50" t="s">
        <v>14</v>
      </c>
      <c r="I86" s="50" t="s">
        <v>15</v>
      </c>
      <c r="J86" s="50" t="s">
        <v>10</v>
      </c>
      <c r="K86" s="51" t="s">
        <v>66</v>
      </c>
    </row>
    <row r="87" spans="1:13" ht="15">
      <c r="A87">
        <v>1</v>
      </c>
      <c r="C87" s="52">
        <f>IF(C81=1,1,IF(C81=4,1,2))</f>
        <v>1</v>
      </c>
      <c r="D87" s="53" t="str">
        <f>VLOOKUP($C87,tours,2,FALSE)</f>
        <v>BORTOLOTTO</v>
      </c>
      <c r="E87" s="54" t="str">
        <f>VLOOKUP($C87,tours,15,FALSE)</f>
        <v>P1</v>
      </c>
      <c r="F87" s="54">
        <f>VLOOKUP($C87,tours,13,FALSE)</f>
        <v>12</v>
      </c>
      <c r="G87" s="54">
        <f>VLOOKUP($C87,tours,14,FALSE)</f>
        <v>67</v>
      </c>
      <c r="H87" s="268">
        <f>IF(G87="","",F87/G87)</f>
        <v>0.1791044776119403</v>
      </c>
      <c r="I87" s="268" t="str">
        <f>IF(F87=DISTANCE,H87,"-")</f>
        <v>-</v>
      </c>
      <c r="J87" s="54">
        <f>VLOOKUP($C87,tours,17,FALSE)</f>
        <v>2</v>
      </c>
      <c r="K87" s="55">
        <f>VLOOKUP($C87,tours,18,FALSE)</f>
        <v>0</v>
      </c>
      <c r="M87">
        <v>1</v>
      </c>
    </row>
    <row r="88" spans="1:13" ht="15">
      <c r="A88">
        <v>2</v>
      </c>
      <c r="C88" s="52">
        <f>VLOOKUP($C87,tours,20,FALSE)</f>
        <v>4</v>
      </c>
      <c r="D88" s="53" t="str">
        <f>IF(VLOOKUP($C88,tours,2,FALSE)=$C83,VLOOKUP($C88,tours,11,FALSE),VLOOKUP($C88,tours,2,FALSE))</f>
        <v>GRISAT</v>
      </c>
      <c r="E88" s="54" t="str">
        <f>IF(VLOOKUP($C88,tours,2,FALSE)=$C83,VLOOKUP($C88,tours,6,FALSE),VLOOKUP($C88,tours,15,FALSE))</f>
        <v>P4</v>
      </c>
      <c r="F88" s="54">
        <f>IF(VLOOKUP($C88,tours,2,FALSE)=$C83,VLOOKUP($C88,tours,4,FALSE),VLOOKUP($C88,tours,13,FALSE))</f>
        <v>20</v>
      </c>
      <c r="G88" s="54">
        <f>IF(VLOOKUP($C88,tours,2,FALSE)=$C83,VLOOKUP($C88,tours,5,FALSE),VLOOKUP($C88,tours,14,FALSE))</f>
        <v>91</v>
      </c>
      <c r="H88" s="268">
        <f>IF(G88="","",F88/G88)</f>
        <v>0.21978021978021978</v>
      </c>
      <c r="I88" s="268" t="str">
        <f>IF(F88=DISTANCE,H88,"-")</f>
        <v>-</v>
      </c>
      <c r="J88" s="54">
        <f>IF(VLOOKUP($C88,tours,2,FALSE)=$C83,VLOOKUP($C88,tours,7,FALSE),VLOOKUP($C88,tours,17,FALSE))</f>
        <v>10</v>
      </c>
      <c r="K88" s="55">
        <f>IF(VLOOKUP($C88,tours,2,FALSE)=$C83,VLOOKUP($C88,tours,8,FALSE),VLOOKUP($C88,tours,18,FALSE))</f>
        <v>0</v>
      </c>
      <c r="M88">
        <v>2</v>
      </c>
    </row>
    <row r="89" spans="1:13" ht="15">
      <c r="A89">
        <v>3</v>
      </c>
      <c r="C89" s="52">
        <f>IF(VLOOKUP($C88,tours,2,FALSE)=$C83,VLOOKUP($C88,tours,9,FALSE),VLOOKUP($C88,tours,20,FALSE))</f>
        <v>6</v>
      </c>
      <c r="D89" s="53" t="str">
        <f>IF(VLOOKUP($C89,tours,2,FALSE)=$C83,VLOOKUP($C89,tours,11,FALSE),VLOOKUP($C89,tours,2,FALSE))</f>
        <v>BRUNET</v>
      </c>
      <c r="E89" s="54" t="str">
        <f>IF(VLOOKUP($C89,tours,2,FALSE)=$C83,VLOOKUP($C89,tours,6,FALSE),VLOOKUP($C89,tours,15,FALSE))</f>
        <v>P6</v>
      </c>
      <c r="F89" s="54">
        <f>IF(VLOOKUP($C89,tours,2,FALSE)=$C83,VLOOKUP($C89,tours,4,FALSE),VLOOKUP($C89,tours,13,FALSE))</f>
        <v>22</v>
      </c>
      <c r="G89" s="54">
        <f>IF(VLOOKUP($C89,tours,2,FALSE)=$C83,VLOOKUP($C89,tours,5,FALSE),VLOOKUP($C89,tours,14,FALSE))</f>
        <v>57</v>
      </c>
      <c r="H89" s="268">
        <f>IF(G89="","",F89/G89)</f>
        <v>0.38596491228070173</v>
      </c>
      <c r="I89" s="268" t="str">
        <f>IF(F89=DISTANCE,H89,"-")</f>
        <v>-</v>
      </c>
      <c r="J89" s="54">
        <f>IF(VLOOKUP($C89,tours,2,FALSE)=$C83,VLOOKUP($C89,tours,7,FALSE),VLOOKUP($C89,tours,17,FALSE))</f>
        <v>2</v>
      </c>
      <c r="K89" s="55">
        <f>IF(VLOOKUP($C89,tours,2,FALSE)=$C83,VLOOKUP($C89,tours,8,FALSE),VLOOKUP($C89,tours,18,FALSE))</f>
        <v>0</v>
      </c>
      <c r="M89">
        <v>3</v>
      </c>
    </row>
    <row r="90" spans="3:11" ht="15.75" thickBot="1">
      <c r="C90" s="82"/>
      <c r="D90" s="83"/>
      <c r="E90" s="84"/>
      <c r="F90" s="84"/>
      <c r="G90" s="84"/>
      <c r="H90" s="268"/>
      <c r="I90" s="268"/>
      <c r="J90" s="84"/>
      <c r="K90" s="85"/>
    </row>
    <row r="91" spans="1:11" ht="15.75" thickBot="1">
      <c r="A91" s="38" t="s">
        <v>68</v>
      </c>
      <c r="C91" s="86"/>
      <c r="D91" s="87" t="s">
        <v>64</v>
      </c>
      <c r="E91" s="87"/>
      <c r="F91" s="88">
        <f>SUM(F87:F89)</f>
        <v>54</v>
      </c>
      <c r="G91" s="88">
        <f>SUM(G87:G89)</f>
        <v>215</v>
      </c>
      <c r="H91" s="269">
        <f>IF(G91=0,"",F91/G91)</f>
        <v>0.25116279069767444</v>
      </c>
      <c r="I91" s="269">
        <f>MAX(I87:I89)</f>
        <v>0</v>
      </c>
      <c r="J91" s="89">
        <f>MAX(J87:J89)</f>
        <v>10</v>
      </c>
      <c r="K91" s="90">
        <f>SUM(K87:K89)</f>
        <v>0</v>
      </c>
    </row>
    <row r="93" spans="3:5" ht="15.75">
      <c r="C93" s="57" t="s">
        <v>65</v>
      </c>
      <c r="D93" s="57"/>
      <c r="E93" s="57" t="str">
        <f>VLOOKUP($C83,term,2,FALSE)</f>
        <v>4ème</v>
      </c>
    </row>
    <row r="95" spans="3:9" ht="23.25">
      <c r="C95" s="56" t="str">
        <f>lieue</f>
        <v>BILLARD CLUB SAINT GAUDENS</v>
      </c>
      <c r="D95" s="56"/>
      <c r="E95" s="56"/>
      <c r="F95" s="56"/>
      <c r="G95" s="56"/>
      <c r="I95" t="str">
        <f>dat</f>
        <v> </v>
      </c>
    </row>
  </sheetData>
  <sheetProtection sheet="1" objects="1" scenarios="1"/>
  <mergeCells count="12">
    <mergeCell ref="B1:L1"/>
    <mergeCell ref="J9:K9"/>
    <mergeCell ref="J8:K8"/>
    <mergeCell ref="B25:L25"/>
    <mergeCell ref="J32:K32"/>
    <mergeCell ref="J33:K33"/>
    <mergeCell ref="B51:L51"/>
    <mergeCell ref="J83:K83"/>
    <mergeCell ref="J58:K58"/>
    <mergeCell ref="J59:K59"/>
    <mergeCell ref="B75:L75"/>
    <mergeCell ref="J82:K82"/>
  </mergeCells>
  <printOptions horizontalCentered="1" verticalCentered="1"/>
  <pageMargins left="0.1968503937007874" right="0.1968503937007874" top="0.1968503937007874" bottom="0.3937007874015748" header="0" footer="0"/>
  <pageSetup horizontalDpi="300" verticalDpi="300" orientation="landscape" paperSize="9" scale="14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7"/>
  <dimension ref="A1:Y63"/>
  <sheetViews>
    <sheetView view="pageBreakPreview" zoomScale="75" zoomScaleNormal="75" zoomScaleSheetLayoutView="75" zoomScalePageLayoutView="0" workbookViewId="0" topLeftCell="A1">
      <pane ySplit="3" topLeftCell="A4" activePane="bottomLeft" state="frozen"/>
      <selection pane="topLeft" activeCell="A1" sqref="A1"/>
      <selection pane="bottomLeft" activeCell="H10" sqref="H10"/>
    </sheetView>
  </sheetViews>
  <sheetFormatPr defaultColWidth="11.5546875" defaultRowHeight="15"/>
  <cols>
    <col min="1" max="5" width="4.88671875" style="0" customWidth="1"/>
    <col min="6" max="6" width="1.77734375" style="0" customWidth="1"/>
    <col min="7" max="11" width="4.88671875" style="0" customWidth="1"/>
    <col min="12" max="12" width="1.77734375" style="0" customWidth="1"/>
    <col min="13" max="17" width="4.88671875" style="0" customWidth="1"/>
    <col min="18" max="18" width="1.77734375" style="0" customWidth="1"/>
    <col min="19" max="23" width="4.88671875" style="0" customWidth="1"/>
    <col min="25" max="25" width="0" style="0" hidden="1" customWidth="1"/>
  </cols>
  <sheetData>
    <row r="1" spans="1:25" ht="26.25">
      <c r="A1" s="124"/>
      <c r="B1" s="131"/>
      <c r="C1" s="365" t="s">
        <v>83</v>
      </c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  <c r="Q1" s="366"/>
      <c r="R1" s="366"/>
      <c r="S1" s="366"/>
      <c r="T1" s="366"/>
      <c r="U1" s="366"/>
      <c r="V1" s="366"/>
      <c r="W1" s="367"/>
      <c r="Y1" t="str">
        <f>design1</f>
        <v>DISTRICT</v>
      </c>
    </row>
    <row r="2" spans="1:23" ht="23.25">
      <c r="A2" s="124"/>
      <c r="B2" s="131"/>
      <c r="C2" s="368" t="s">
        <v>103</v>
      </c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8"/>
      <c r="R2" s="368"/>
      <c r="S2" s="368"/>
      <c r="T2" s="368"/>
      <c r="U2" s="368"/>
      <c r="V2" s="368"/>
      <c r="W2" s="368"/>
    </row>
    <row r="3" spans="1:23" ht="23.25">
      <c r="A3" s="184"/>
      <c r="B3" s="185"/>
      <c r="C3" s="369"/>
      <c r="D3" s="369"/>
      <c r="E3" s="369"/>
      <c r="F3" s="369"/>
      <c r="G3" s="369"/>
      <c r="H3" s="369"/>
      <c r="I3" s="369"/>
      <c r="J3" s="369"/>
      <c r="K3" s="369"/>
      <c r="L3" s="369"/>
      <c r="M3" s="369"/>
      <c r="N3" s="369"/>
      <c r="O3" s="369"/>
      <c r="P3" s="369"/>
      <c r="Q3" s="369"/>
      <c r="R3" s="369"/>
      <c r="S3" s="369"/>
      <c r="T3" s="369"/>
      <c r="U3" s="369"/>
      <c r="V3" s="369"/>
      <c r="W3" s="369"/>
    </row>
    <row r="4" spans="1:23" ht="15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</row>
    <row r="5" spans="1:23" ht="27.75">
      <c r="A5" s="370" t="s">
        <v>104</v>
      </c>
      <c r="B5" s="370"/>
      <c r="C5" s="370"/>
      <c r="D5" s="370"/>
      <c r="E5" s="370"/>
      <c r="F5" s="370"/>
      <c r="G5" s="370"/>
      <c r="H5" s="370"/>
      <c r="I5" s="370"/>
      <c r="J5" s="370"/>
      <c r="K5" s="370"/>
      <c r="L5" s="370"/>
      <c r="M5" s="370"/>
      <c r="N5" s="370"/>
      <c r="O5" s="370"/>
      <c r="P5" s="370"/>
      <c r="Q5" s="370"/>
      <c r="R5" s="370"/>
      <c r="S5" s="370"/>
      <c r="T5" s="370"/>
      <c r="U5" s="370"/>
      <c r="V5" s="370"/>
      <c r="W5" s="370"/>
    </row>
    <row r="6" spans="1:23" ht="15">
      <c r="A6" s="124"/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</row>
    <row r="7" spans="1:23" ht="23.25">
      <c r="A7" s="375">
        <f>IF(Y1="SOUS-DISTRICT","X",0)</f>
        <v>0</v>
      </c>
      <c r="B7" s="371" t="s">
        <v>105</v>
      </c>
      <c r="C7" s="371"/>
      <c r="D7" s="371"/>
      <c r="E7" s="372"/>
      <c r="F7" s="186"/>
      <c r="G7" s="375" t="str">
        <f>IF(Y1="DISTRICT","X",IF(Y1="DEMI-LIGUE","X",0))</f>
        <v>X</v>
      </c>
      <c r="H7" s="371" t="s">
        <v>106</v>
      </c>
      <c r="I7" s="371"/>
      <c r="J7" s="371"/>
      <c r="K7" s="372"/>
      <c r="L7" s="186"/>
      <c r="M7" s="375">
        <f>IF(Y1="LIGUE","X",0)</f>
        <v>0</v>
      </c>
      <c r="N7" s="371" t="s">
        <v>107</v>
      </c>
      <c r="O7" s="371"/>
      <c r="P7" s="371"/>
      <c r="Q7" s="372"/>
      <c r="R7" s="186"/>
      <c r="S7" s="375">
        <f>IF(Y1="SECTEUR","X",0)</f>
        <v>0</v>
      </c>
      <c r="T7" s="371" t="s">
        <v>108</v>
      </c>
      <c r="U7" s="371"/>
      <c r="V7" s="371"/>
      <c r="W7" s="372"/>
    </row>
    <row r="8" spans="1:23" ht="16.5" customHeight="1">
      <c r="A8" s="376"/>
      <c r="B8" s="373"/>
      <c r="C8" s="373"/>
      <c r="D8" s="373"/>
      <c r="E8" s="374"/>
      <c r="F8" s="186"/>
      <c r="G8" s="376"/>
      <c r="H8" s="373"/>
      <c r="I8" s="373"/>
      <c r="J8" s="373"/>
      <c r="K8" s="374"/>
      <c r="L8" s="186"/>
      <c r="M8" s="376"/>
      <c r="N8" s="373"/>
      <c r="O8" s="373"/>
      <c r="P8" s="373"/>
      <c r="Q8" s="374"/>
      <c r="R8" s="186"/>
      <c r="S8" s="376"/>
      <c r="T8" s="373"/>
      <c r="U8" s="373"/>
      <c r="V8" s="373"/>
      <c r="W8" s="374"/>
    </row>
    <row r="9" spans="1:23" ht="15">
      <c r="A9" s="124"/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</row>
    <row r="10" spans="1:23" ht="15">
      <c r="A10" s="187" t="s">
        <v>109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</row>
    <row r="11" spans="1:23" ht="6.75" customHeight="1">
      <c r="A11" s="124"/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</row>
    <row r="12" spans="1:23" ht="15.75">
      <c r="A12" s="124"/>
      <c r="B12" s="377" t="s">
        <v>87</v>
      </c>
      <c r="C12" s="377"/>
      <c r="D12" s="377"/>
      <c r="E12" s="377"/>
      <c r="F12" s="377"/>
      <c r="G12" s="377"/>
      <c r="H12" s="124"/>
      <c r="I12" s="124"/>
      <c r="J12" s="377" t="s">
        <v>110</v>
      </c>
      <c r="K12" s="377"/>
      <c r="L12" s="377"/>
      <c r="M12" s="377"/>
      <c r="N12" s="377"/>
      <c r="O12" s="377"/>
      <c r="P12" s="377"/>
      <c r="Q12" s="377"/>
      <c r="R12" s="377"/>
      <c r="S12" s="377"/>
      <c r="T12" s="377"/>
      <c r="U12" s="377"/>
      <c r="V12" s="377"/>
      <c r="W12" s="377"/>
    </row>
    <row r="13" spans="1:23" ht="15">
      <c r="A13" s="188"/>
      <c r="B13" s="378"/>
      <c r="C13" s="379"/>
      <c r="D13" s="379"/>
      <c r="E13" s="379"/>
      <c r="F13" s="379"/>
      <c r="G13" s="380"/>
      <c r="H13" s="188"/>
      <c r="I13" s="188"/>
      <c r="J13" s="387"/>
      <c r="K13" s="388"/>
      <c r="L13" s="388"/>
      <c r="M13" s="388"/>
      <c r="N13" s="388"/>
      <c r="O13" s="388"/>
      <c r="P13" s="388"/>
      <c r="Q13" s="388"/>
      <c r="R13" s="388"/>
      <c r="S13" s="388"/>
      <c r="T13" s="388"/>
      <c r="U13" s="388"/>
      <c r="V13" s="388"/>
      <c r="W13" s="389"/>
    </row>
    <row r="14" spans="1:23" ht="15">
      <c r="A14" s="188"/>
      <c r="B14" s="381"/>
      <c r="C14" s="382"/>
      <c r="D14" s="382"/>
      <c r="E14" s="382"/>
      <c r="F14" s="382"/>
      <c r="G14" s="383"/>
      <c r="H14" s="188"/>
      <c r="I14" s="188"/>
      <c r="J14" s="390"/>
      <c r="K14" s="391"/>
      <c r="L14" s="391"/>
      <c r="M14" s="391"/>
      <c r="N14" s="391"/>
      <c r="O14" s="391"/>
      <c r="P14" s="391"/>
      <c r="Q14" s="391"/>
      <c r="R14" s="391"/>
      <c r="S14" s="391"/>
      <c r="T14" s="391"/>
      <c r="U14" s="391"/>
      <c r="V14" s="391"/>
      <c r="W14" s="392"/>
    </row>
    <row r="15" spans="1:23" ht="15">
      <c r="A15" s="188"/>
      <c r="B15" s="384"/>
      <c r="C15" s="385"/>
      <c r="D15" s="385"/>
      <c r="E15" s="385"/>
      <c r="F15" s="385"/>
      <c r="G15" s="386"/>
      <c r="H15" s="188"/>
      <c r="I15" s="188"/>
      <c r="J15" s="393"/>
      <c r="K15" s="394"/>
      <c r="L15" s="394"/>
      <c r="M15" s="394"/>
      <c r="N15" s="394"/>
      <c r="O15" s="394"/>
      <c r="P15" s="394"/>
      <c r="Q15" s="394"/>
      <c r="R15" s="394"/>
      <c r="S15" s="394"/>
      <c r="T15" s="394"/>
      <c r="U15" s="394"/>
      <c r="V15" s="394"/>
      <c r="W15" s="395"/>
    </row>
    <row r="16" spans="1:23" ht="15">
      <c r="A16" s="188"/>
      <c r="B16" s="188"/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</row>
    <row r="17" spans="1:23" ht="15.75">
      <c r="A17" s="188"/>
      <c r="B17" s="377" t="s">
        <v>111</v>
      </c>
      <c r="C17" s="377"/>
      <c r="D17" s="377"/>
      <c r="E17" s="377"/>
      <c r="F17" s="377"/>
      <c r="G17" s="377"/>
      <c r="H17" s="188"/>
      <c r="I17" s="188"/>
      <c r="J17" s="377" t="s">
        <v>86</v>
      </c>
      <c r="K17" s="377"/>
      <c r="L17" s="377"/>
      <c r="M17" s="377"/>
      <c r="N17" s="377"/>
      <c r="O17" s="377"/>
      <c r="P17" s="188"/>
      <c r="Q17" s="188"/>
      <c r="R17" s="188"/>
      <c r="S17" s="377" t="s">
        <v>112</v>
      </c>
      <c r="T17" s="377"/>
      <c r="U17" s="377"/>
      <c r="V17" s="377"/>
      <c r="W17" s="377"/>
    </row>
    <row r="18" spans="1:23" ht="15">
      <c r="A18" s="188"/>
      <c r="B18" s="387" t="str">
        <f>modjeu</f>
        <v>3 BANDES</v>
      </c>
      <c r="C18" s="388"/>
      <c r="D18" s="388"/>
      <c r="E18" s="388"/>
      <c r="F18" s="388"/>
      <c r="G18" s="389"/>
      <c r="H18" s="188"/>
      <c r="I18" s="188"/>
      <c r="J18" s="387" t="str">
        <f>design2</f>
        <v>REGIONALE 1</v>
      </c>
      <c r="K18" s="388"/>
      <c r="L18" s="388"/>
      <c r="M18" s="388"/>
      <c r="N18" s="388"/>
      <c r="O18" s="389"/>
      <c r="P18" s="188"/>
      <c r="Q18" s="188"/>
      <c r="R18" s="188"/>
      <c r="S18" s="396">
        <f>DISTANCE</f>
        <v>25</v>
      </c>
      <c r="T18" s="397"/>
      <c r="U18" s="397"/>
      <c r="V18" s="397"/>
      <c r="W18" s="400" t="s">
        <v>9</v>
      </c>
    </row>
    <row r="19" spans="1:23" ht="15">
      <c r="A19" s="188"/>
      <c r="B19" s="393"/>
      <c r="C19" s="394"/>
      <c r="D19" s="394"/>
      <c r="E19" s="394"/>
      <c r="F19" s="394"/>
      <c r="G19" s="395"/>
      <c r="H19" s="188"/>
      <c r="I19" s="188"/>
      <c r="J19" s="393"/>
      <c r="K19" s="394"/>
      <c r="L19" s="394"/>
      <c r="M19" s="394"/>
      <c r="N19" s="394"/>
      <c r="O19" s="395"/>
      <c r="P19" s="188"/>
      <c r="Q19" s="188"/>
      <c r="R19" s="188"/>
      <c r="S19" s="398"/>
      <c r="T19" s="399"/>
      <c r="U19" s="399"/>
      <c r="V19" s="399"/>
      <c r="W19" s="401"/>
    </row>
    <row r="20" spans="1:23" ht="15">
      <c r="A20" s="188"/>
      <c r="B20" s="188"/>
      <c r="C20" s="188"/>
      <c r="D20" s="188"/>
      <c r="E20" s="188"/>
      <c r="F20" s="188"/>
      <c r="G20" s="188"/>
      <c r="H20" s="188"/>
      <c r="I20" s="188"/>
      <c r="J20" s="188"/>
      <c r="K20" s="188"/>
      <c r="L20" s="188"/>
      <c r="M20" s="188"/>
      <c r="N20" s="188"/>
      <c r="O20" s="188"/>
      <c r="P20" s="188"/>
      <c r="Q20" s="188"/>
      <c r="R20" s="188"/>
      <c r="S20" s="188"/>
      <c r="T20" s="188"/>
      <c r="U20" s="188"/>
      <c r="V20" s="188"/>
      <c r="W20" s="188"/>
    </row>
    <row r="21" spans="1:23" ht="15.75">
      <c r="A21" s="188"/>
      <c r="B21" s="188"/>
      <c r="C21" s="188"/>
      <c r="D21" s="188"/>
      <c r="E21" s="188"/>
      <c r="F21" s="188"/>
      <c r="G21" s="188"/>
      <c r="H21" s="188"/>
      <c r="I21" s="188"/>
      <c r="J21" s="188"/>
      <c r="K21" s="188"/>
      <c r="L21" s="188"/>
      <c r="M21" s="188"/>
      <c r="N21" s="190" t="s">
        <v>128</v>
      </c>
      <c r="O21" s="188"/>
      <c r="P21" s="188"/>
      <c r="Q21" s="188"/>
      <c r="R21" s="188"/>
      <c r="S21" s="188"/>
      <c r="T21" s="188"/>
      <c r="U21" s="188"/>
      <c r="V21" s="188"/>
      <c r="W21" s="188"/>
    </row>
    <row r="22" spans="1:23" ht="15.75">
      <c r="A22" s="189" t="s">
        <v>113</v>
      </c>
      <c r="B22" s="188"/>
      <c r="C22" s="188"/>
      <c r="D22" s="188"/>
      <c r="E22" s="188"/>
      <c r="F22" s="188"/>
      <c r="G22" s="188"/>
      <c r="H22" s="211">
        <f>IF(Y1="SOUS-DISTRICT",1,0)</f>
        <v>0</v>
      </c>
      <c r="I22" s="190" t="s">
        <v>114</v>
      </c>
      <c r="J22" s="190"/>
      <c r="K22" s="190"/>
      <c r="L22" s="190"/>
      <c r="M22" s="211">
        <f>IF(Y1="DISTRICT",1,IF(Y1="DEMI-LIGUE",1,0))</f>
        <v>1</v>
      </c>
      <c r="N22" s="190" t="s">
        <v>129</v>
      </c>
      <c r="O22" s="190"/>
      <c r="P22" s="188"/>
      <c r="Q22" s="211">
        <f>IF(Y1="LIGUE",1,0)</f>
        <v>0</v>
      </c>
      <c r="R22" s="190" t="s">
        <v>106</v>
      </c>
      <c r="S22" s="188"/>
      <c r="T22" s="190"/>
      <c r="U22" s="211">
        <f>IF(Y1="SECTEUR",1,0)</f>
        <v>0</v>
      </c>
      <c r="V22" s="190" t="s">
        <v>107</v>
      </c>
      <c r="W22" s="190"/>
    </row>
    <row r="23" spans="1:23" ht="15">
      <c r="A23" s="188"/>
      <c r="B23" s="188"/>
      <c r="C23" s="188"/>
      <c r="D23" s="188"/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  <c r="R23" s="188"/>
      <c r="S23" s="188"/>
      <c r="T23" s="188"/>
      <c r="U23" s="188"/>
      <c r="V23" s="188"/>
      <c r="W23" s="188"/>
    </row>
    <row r="24" spans="1:23" ht="26.25" customHeight="1">
      <c r="A24" s="191" t="s">
        <v>115</v>
      </c>
      <c r="B24" s="192"/>
      <c r="C24" s="192"/>
      <c r="D24" s="192"/>
      <c r="E24" s="192"/>
      <c r="F24" s="193"/>
      <c r="G24" s="402"/>
      <c r="H24" s="403"/>
      <c r="I24" s="403"/>
      <c r="J24" s="403"/>
      <c r="K24" s="403"/>
      <c r="L24" s="403"/>
      <c r="M24" s="403"/>
      <c r="N24" s="403"/>
      <c r="O24" s="403"/>
      <c r="P24" s="403"/>
      <c r="Q24" s="403"/>
      <c r="R24" s="403"/>
      <c r="S24" s="403"/>
      <c r="T24" s="403"/>
      <c r="U24" s="403"/>
      <c r="V24" s="403"/>
      <c r="W24" s="404"/>
    </row>
    <row r="25" spans="1:23" ht="15.75">
      <c r="A25" s="216"/>
      <c r="B25" s="195"/>
      <c r="C25" s="195"/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  <c r="R25" s="192"/>
      <c r="S25" s="192"/>
      <c r="T25" s="192"/>
      <c r="U25" s="192"/>
      <c r="V25" s="192"/>
      <c r="W25" s="192"/>
    </row>
    <row r="26" spans="1:23" ht="20.25">
      <c r="A26" s="60"/>
      <c r="B26" s="205"/>
      <c r="C26" s="213" t="s">
        <v>116</v>
      </c>
      <c r="D26" s="387"/>
      <c r="E26" s="388"/>
      <c r="F26" s="388"/>
      <c r="G26" s="388"/>
      <c r="H26" s="388"/>
      <c r="I26" s="388"/>
      <c r="J26" s="388"/>
      <c r="K26" s="388"/>
      <c r="L26" s="388"/>
      <c r="M26" s="388"/>
      <c r="N26" s="388"/>
      <c r="O26" s="388"/>
      <c r="P26" s="388"/>
      <c r="Q26" s="388"/>
      <c r="R26" s="388"/>
      <c r="S26" s="388"/>
      <c r="T26" s="388"/>
      <c r="U26" s="388"/>
      <c r="V26" s="388"/>
      <c r="W26" s="389"/>
    </row>
    <row r="27" spans="1:23" ht="15.75">
      <c r="A27" s="214"/>
      <c r="B27" s="205"/>
      <c r="C27" s="205"/>
      <c r="D27" s="197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191" t="s">
        <v>117</v>
      </c>
      <c r="R27" s="405"/>
      <c r="S27" s="405"/>
      <c r="T27" s="405"/>
      <c r="U27" s="405"/>
      <c r="V27" s="405"/>
      <c r="W27" s="406"/>
    </row>
    <row r="28" spans="1:23" ht="15.75">
      <c r="A28" s="214"/>
      <c r="B28" s="205"/>
      <c r="C28" s="205"/>
      <c r="D28" s="205"/>
      <c r="E28" s="205"/>
      <c r="F28" s="205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196"/>
      <c r="R28" s="196"/>
      <c r="S28" s="196"/>
      <c r="T28" s="196"/>
      <c r="U28" s="196"/>
      <c r="V28" s="196"/>
      <c r="W28" s="196"/>
    </row>
    <row r="29" spans="1:23" ht="23.25" customHeight="1">
      <c r="A29" s="60"/>
      <c r="B29" s="205"/>
      <c r="C29" s="205"/>
      <c r="D29" s="205"/>
      <c r="E29" s="205"/>
      <c r="F29" s="213" t="s">
        <v>118</v>
      </c>
      <c r="G29" s="407"/>
      <c r="H29" s="408"/>
      <c r="I29" s="408"/>
      <c r="J29" s="408"/>
      <c r="K29" s="408"/>
      <c r="L29" s="408"/>
      <c r="M29" s="408"/>
      <c r="N29" s="408"/>
      <c r="O29" s="408"/>
      <c r="P29" s="408"/>
      <c r="Q29" s="408"/>
      <c r="R29" s="408"/>
      <c r="S29" s="408"/>
      <c r="T29" s="408"/>
      <c r="U29" s="408"/>
      <c r="V29" s="408"/>
      <c r="W29" s="409"/>
    </row>
    <row r="30" spans="1:23" ht="15">
      <c r="A30" s="199"/>
      <c r="B30" s="199"/>
      <c r="C30" s="199"/>
      <c r="D30" s="199"/>
      <c r="E30" s="199"/>
      <c r="F30" s="199"/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199"/>
      <c r="R30" s="199"/>
      <c r="S30" s="199"/>
      <c r="T30" s="199"/>
      <c r="U30" s="199"/>
      <c r="V30" s="199"/>
      <c r="W30" s="199"/>
    </row>
    <row r="31" spans="1:23" ht="23.25">
      <c r="A31" s="60"/>
      <c r="B31" s="213" t="s">
        <v>119</v>
      </c>
      <c r="C31" s="402"/>
      <c r="D31" s="403"/>
      <c r="E31" s="403"/>
      <c r="F31" s="403"/>
      <c r="G31" s="403"/>
      <c r="H31" s="404"/>
      <c r="I31" s="60"/>
      <c r="J31" s="214"/>
      <c r="K31" s="213" t="s">
        <v>84</v>
      </c>
      <c r="L31" s="410"/>
      <c r="M31" s="408"/>
      <c r="N31" s="408"/>
      <c r="O31" s="409"/>
      <c r="P31" s="60"/>
      <c r="Q31" s="215"/>
      <c r="R31" s="205"/>
      <c r="S31" s="205"/>
      <c r="T31" s="213" t="s">
        <v>85</v>
      </c>
      <c r="U31" s="411"/>
      <c r="V31" s="412"/>
      <c r="W31" s="413"/>
    </row>
    <row r="32" spans="1:23" ht="15">
      <c r="A32" s="200"/>
      <c r="B32" s="200"/>
      <c r="C32" s="200"/>
      <c r="D32" s="200"/>
      <c r="E32" s="200"/>
      <c r="F32" s="200"/>
      <c r="G32" s="200"/>
      <c r="H32" s="200"/>
      <c r="I32" s="200"/>
      <c r="J32" s="200"/>
      <c r="K32" s="200"/>
      <c r="L32" s="200"/>
      <c r="M32" s="200"/>
      <c r="N32" s="200"/>
      <c r="O32" s="200"/>
      <c r="P32" s="200"/>
      <c r="Q32" s="200"/>
      <c r="R32" s="200"/>
      <c r="S32" s="200"/>
      <c r="T32" s="200"/>
      <c r="U32" s="200"/>
      <c r="V32" s="200"/>
      <c r="W32" s="200"/>
    </row>
    <row r="33" spans="1:23" ht="15">
      <c r="A33" s="199"/>
      <c r="B33" s="199"/>
      <c r="C33" s="199"/>
      <c r="D33" s="199"/>
      <c r="E33" s="199"/>
      <c r="F33" s="199"/>
      <c r="G33" s="199"/>
      <c r="H33" s="199"/>
      <c r="I33" s="199"/>
      <c r="J33" s="199"/>
      <c r="K33" s="199"/>
      <c r="L33" s="199"/>
      <c r="M33" s="199"/>
      <c r="N33" s="199"/>
      <c r="O33" s="199"/>
      <c r="P33" s="199"/>
      <c r="Q33" s="199"/>
      <c r="R33" s="199"/>
      <c r="S33" s="199"/>
      <c r="T33" s="199"/>
      <c r="U33" s="199"/>
      <c r="V33" s="199"/>
      <c r="W33" s="199"/>
    </row>
    <row r="34" spans="1:23" ht="15.75">
      <c r="A34" s="414" t="s">
        <v>120</v>
      </c>
      <c r="B34" s="414"/>
      <c r="C34" s="414"/>
      <c r="D34" s="414"/>
      <c r="E34" s="414"/>
      <c r="F34" s="414"/>
      <c r="G34" s="414"/>
      <c r="H34" s="414"/>
      <c r="I34" s="414"/>
      <c r="J34" s="414"/>
      <c r="K34" s="414"/>
      <c r="L34" s="414"/>
      <c r="M34" s="414"/>
      <c r="N34" s="414"/>
      <c r="O34" s="414"/>
      <c r="P34" s="414"/>
      <c r="Q34" s="414"/>
      <c r="R34" s="414"/>
      <c r="S34" s="414"/>
      <c r="T34" s="414"/>
      <c r="U34" s="414"/>
      <c r="V34" s="414"/>
      <c r="W34" s="414"/>
    </row>
    <row r="35" spans="1:23" ht="15">
      <c r="A35" s="199"/>
      <c r="B35" s="199"/>
      <c r="C35" s="199"/>
      <c r="D35" s="199"/>
      <c r="E35" s="199"/>
      <c r="F35" s="199"/>
      <c r="G35" s="199"/>
      <c r="H35" s="199"/>
      <c r="I35" s="199"/>
      <c r="J35" s="199"/>
      <c r="K35" s="199"/>
      <c r="L35" s="199"/>
      <c r="M35" s="199"/>
      <c r="N35" s="199"/>
      <c r="O35" s="199"/>
      <c r="P35" s="199"/>
      <c r="Q35" s="199"/>
      <c r="R35" s="199"/>
      <c r="S35" s="199"/>
      <c r="T35" s="199"/>
      <c r="U35" s="199"/>
      <c r="V35" s="199"/>
      <c r="W35" s="199"/>
    </row>
    <row r="36" spans="1:23" ht="26.25" customHeight="1">
      <c r="A36" s="191" t="s">
        <v>115</v>
      </c>
      <c r="B36" s="192"/>
      <c r="C36" s="192"/>
      <c r="D36" s="192"/>
      <c r="E36" s="192"/>
      <c r="F36" s="193"/>
      <c r="G36" s="402"/>
      <c r="H36" s="403"/>
      <c r="I36" s="403"/>
      <c r="J36" s="403"/>
      <c r="K36" s="403"/>
      <c r="L36" s="403"/>
      <c r="M36" s="403"/>
      <c r="N36" s="403"/>
      <c r="O36" s="403"/>
      <c r="P36" s="403"/>
      <c r="Q36" s="403"/>
      <c r="R36" s="403"/>
      <c r="S36" s="403"/>
      <c r="T36" s="403"/>
      <c r="U36" s="403"/>
      <c r="V36" s="403"/>
      <c r="W36" s="404"/>
    </row>
    <row r="37" spans="1:23" ht="15.75">
      <c r="A37" s="216"/>
      <c r="B37" s="195"/>
      <c r="C37" s="195"/>
      <c r="D37" s="192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92"/>
      <c r="R37" s="192"/>
      <c r="S37" s="192"/>
      <c r="T37" s="192"/>
      <c r="U37" s="192"/>
      <c r="V37" s="192"/>
      <c r="W37" s="192"/>
    </row>
    <row r="38" spans="1:23" ht="20.25">
      <c r="A38" s="60"/>
      <c r="B38" s="205"/>
      <c r="C38" s="213" t="s">
        <v>116</v>
      </c>
      <c r="D38" s="387"/>
      <c r="E38" s="388"/>
      <c r="F38" s="388"/>
      <c r="G38" s="388"/>
      <c r="H38" s="388"/>
      <c r="I38" s="388"/>
      <c r="J38" s="388"/>
      <c r="K38" s="388"/>
      <c r="L38" s="388"/>
      <c r="M38" s="388"/>
      <c r="N38" s="388"/>
      <c r="O38" s="388"/>
      <c r="P38" s="388"/>
      <c r="Q38" s="388"/>
      <c r="R38" s="388"/>
      <c r="S38" s="388"/>
      <c r="T38" s="388"/>
      <c r="U38" s="388"/>
      <c r="V38" s="388"/>
      <c r="W38" s="389"/>
    </row>
    <row r="39" spans="1:23" ht="15.75">
      <c r="A39" s="214"/>
      <c r="B39" s="205"/>
      <c r="C39" s="205"/>
      <c r="D39" s="197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6"/>
      <c r="P39" s="196"/>
      <c r="Q39" s="191" t="s">
        <v>117</v>
      </c>
      <c r="R39" s="405"/>
      <c r="S39" s="405"/>
      <c r="T39" s="405"/>
      <c r="U39" s="405"/>
      <c r="V39" s="405"/>
      <c r="W39" s="406"/>
    </row>
    <row r="40" spans="1:23" ht="15.75">
      <c r="A40" s="214"/>
      <c r="B40" s="205"/>
      <c r="C40" s="205"/>
      <c r="D40" s="195"/>
      <c r="E40" s="195"/>
      <c r="F40" s="195"/>
      <c r="G40" s="192"/>
      <c r="H40" s="192"/>
      <c r="I40" s="192"/>
      <c r="J40" s="192"/>
      <c r="K40" s="192"/>
      <c r="L40" s="192"/>
      <c r="M40" s="192"/>
      <c r="N40" s="192"/>
      <c r="O40" s="192"/>
      <c r="P40" s="192"/>
      <c r="Q40" s="192"/>
      <c r="R40" s="192"/>
      <c r="S40" s="192"/>
      <c r="T40" s="192"/>
      <c r="U40" s="192"/>
      <c r="V40" s="192"/>
      <c r="W40" s="192"/>
    </row>
    <row r="41" spans="1:23" ht="23.25" customHeight="1">
      <c r="A41" s="60"/>
      <c r="B41" s="205"/>
      <c r="C41" s="205"/>
      <c r="D41" s="205"/>
      <c r="E41" s="205"/>
      <c r="F41" s="213" t="s">
        <v>118</v>
      </c>
      <c r="G41" s="407"/>
      <c r="H41" s="408"/>
      <c r="I41" s="408"/>
      <c r="J41" s="408"/>
      <c r="K41" s="408"/>
      <c r="L41" s="408"/>
      <c r="M41" s="408"/>
      <c r="N41" s="408"/>
      <c r="O41" s="408"/>
      <c r="P41" s="408"/>
      <c r="Q41" s="408"/>
      <c r="R41" s="408"/>
      <c r="S41" s="408"/>
      <c r="T41" s="408"/>
      <c r="U41" s="408"/>
      <c r="V41" s="408"/>
      <c r="W41" s="409"/>
    </row>
    <row r="42" spans="1:23" ht="15">
      <c r="A42" s="199"/>
      <c r="B42" s="199"/>
      <c r="C42" s="199"/>
      <c r="D42" s="199"/>
      <c r="E42" s="199"/>
      <c r="F42" s="199"/>
      <c r="G42" s="199"/>
      <c r="H42" s="199"/>
      <c r="I42" s="199"/>
      <c r="J42" s="199"/>
      <c r="K42" s="199"/>
      <c r="L42" s="199"/>
      <c r="M42" s="199"/>
      <c r="N42" s="199"/>
      <c r="O42" s="199"/>
      <c r="P42" s="199"/>
      <c r="Q42" s="199"/>
      <c r="R42" s="199"/>
      <c r="S42" s="199"/>
      <c r="T42" s="199"/>
      <c r="U42" s="199"/>
      <c r="V42" s="199"/>
      <c r="W42" s="199"/>
    </row>
    <row r="43" spans="1:23" ht="23.25">
      <c r="A43" s="60"/>
      <c r="B43" s="213" t="s">
        <v>119</v>
      </c>
      <c r="C43" s="402"/>
      <c r="D43" s="403"/>
      <c r="E43" s="403"/>
      <c r="F43" s="403"/>
      <c r="G43" s="403"/>
      <c r="H43" s="404"/>
      <c r="I43" s="60"/>
      <c r="J43" s="214"/>
      <c r="K43" s="213" t="s">
        <v>84</v>
      </c>
      <c r="L43" s="410"/>
      <c r="M43" s="408"/>
      <c r="N43" s="408"/>
      <c r="O43" s="409"/>
      <c r="P43" s="60"/>
      <c r="Q43" s="215"/>
      <c r="R43" s="205"/>
      <c r="S43" s="205"/>
      <c r="T43" s="213" t="s">
        <v>85</v>
      </c>
      <c r="U43" s="411"/>
      <c r="V43" s="412"/>
      <c r="W43" s="413"/>
    </row>
    <row r="44" spans="1:23" ht="15">
      <c r="A44" s="212"/>
      <c r="B44" s="212"/>
      <c r="C44" s="200"/>
      <c r="D44" s="200"/>
      <c r="E44" s="200"/>
      <c r="F44" s="200"/>
      <c r="G44" s="200"/>
      <c r="H44" s="200"/>
      <c r="I44" s="212"/>
      <c r="J44" s="212"/>
      <c r="K44" s="212"/>
      <c r="L44" s="200"/>
      <c r="M44" s="200"/>
      <c r="N44" s="200"/>
      <c r="O44" s="200"/>
      <c r="P44" s="212"/>
      <c r="Q44" s="212"/>
      <c r="R44" s="212"/>
      <c r="S44" s="212"/>
      <c r="T44" s="212"/>
      <c r="U44" s="200"/>
      <c r="V44" s="200"/>
      <c r="W44" s="200"/>
    </row>
    <row r="45" spans="1:23" ht="15">
      <c r="A45" s="199"/>
      <c r="B45" s="199"/>
      <c r="C45" s="199"/>
      <c r="D45" s="199"/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</row>
    <row r="46" spans="1:23" ht="15.75">
      <c r="A46" s="201" t="s">
        <v>121</v>
      </c>
      <c r="B46" s="199"/>
      <c r="C46" s="199"/>
      <c r="D46" s="199"/>
      <c r="E46" s="199"/>
      <c r="F46" s="415" t="s">
        <v>122</v>
      </c>
      <c r="G46" s="415"/>
      <c r="H46" s="415"/>
      <c r="I46" s="415"/>
      <c r="J46" s="415"/>
      <c r="K46" s="415"/>
      <c r="L46" s="415"/>
      <c r="M46" s="415"/>
      <c r="N46" s="415"/>
      <c r="O46" s="201"/>
      <c r="P46" s="415" t="s">
        <v>123</v>
      </c>
      <c r="Q46" s="415"/>
      <c r="R46" s="415"/>
      <c r="S46" s="415"/>
      <c r="T46" s="415"/>
      <c r="U46" s="415"/>
      <c r="V46" s="415"/>
      <c r="W46" s="415"/>
    </row>
    <row r="47" spans="1:23" ht="15">
      <c r="A47" s="199"/>
      <c r="B47" s="199"/>
      <c r="C47" s="199"/>
      <c r="D47" s="199"/>
      <c r="E47" s="199"/>
      <c r="F47" s="202"/>
      <c r="G47" s="195"/>
      <c r="H47" s="195"/>
      <c r="I47" s="195"/>
      <c r="J47" s="195"/>
      <c r="K47" s="195"/>
      <c r="L47" s="195"/>
      <c r="M47" s="195"/>
      <c r="N47" s="203"/>
      <c r="O47" s="199"/>
      <c r="P47" s="202"/>
      <c r="Q47" s="195"/>
      <c r="R47" s="195"/>
      <c r="S47" s="195"/>
      <c r="T47" s="195"/>
      <c r="U47" s="195"/>
      <c r="V47" s="195"/>
      <c r="W47" s="203"/>
    </row>
    <row r="48" spans="1:23" ht="15">
      <c r="A48" s="199"/>
      <c r="B48" s="199"/>
      <c r="C48" s="199"/>
      <c r="D48" s="199"/>
      <c r="E48" s="199"/>
      <c r="F48" s="204"/>
      <c r="G48" s="205"/>
      <c r="H48" s="205"/>
      <c r="I48" s="205"/>
      <c r="J48" s="205"/>
      <c r="K48" s="205"/>
      <c r="L48" s="205"/>
      <c r="M48" s="205"/>
      <c r="N48" s="206"/>
      <c r="O48" s="199"/>
      <c r="P48" s="204"/>
      <c r="Q48" s="205"/>
      <c r="R48" s="205"/>
      <c r="S48" s="205"/>
      <c r="T48" s="205"/>
      <c r="U48" s="205"/>
      <c r="V48" s="205"/>
      <c r="W48" s="206"/>
    </row>
    <row r="49" spans="1:23" ht="9.75" customHeight="1">
      <c r="A49" s="199"/>
      <c r="B49" s="199"/>
      <c r="C49" s="199"/>
      <c r="D49" s="199"/>
      <c r="E49" s="199"/>
      <c r="F49" s="204"/>
      <c r="G49" s="205"/>
      <c r="H49" s="205"/>
      <c r="I49" s="205"/>
      <c r="J49" s="205"/>
      <c r="K49" s="205"/>
      <c r="L49" s="205"/>
      <c r="M49" s="205"/>
      <c r="N49" s="206"/>
      <c r="O49" s="199"/>
      <c r="P49" s="204"/>
      <c r="Q49" s="205"/>
      <c r="R49" s="205"/>
      <c r="S49" s="205"/>
      <c r="T49" s="205"/>
      <c r="U49" s="205"/>
      <c r="V49" s="205"/>
      <c r="W49" s="206"/>
    </row>
    <row r="50" spans="1:23" ht="9.75" customHeight="1">
      <c r="A50" s="199"/>
      <c r="B50" s="199"/>
      <c r="C50" s="199"/>
      <c r="D50" s="199"/>
      <c r="E50" s="199"/>
      <c r="F50" s="204"/>
      <c r="G50" s="205"/>
      <c r="H50" s="205"/>
      <c r="I50" s="205"/>
      <c r="J50" s="205"/>
      <c r="K50" s="205"/>
      <c r="L50" s="205"/>
      <c r="M50" s="205"/>
      <c r="N50" s="206"/>
      <c r="O50" s="199"/>
      <c r="P50" s="204"/>
      <c r="Q50" s="205"/>
      <c r="R50" s="205"/>
      <c r="S50" s="205"/>
      <c r="T50" s="205"/>
      <c r="U50" s="205"/>
      <c r="V50" s="205"/>
      <c r="W50" s="206"/>
    </row>
    <row r="51" spans="1:23" ht="15">
      <c r="A51" s="199"/>
      <c r="B51" s="199"/>
      <c r="C51" s="199"/>
      <c r="D51" s="199"/>
      <c r="E51" s="199"/>
      <c r="F51" s="197"/>
      <c r="G51" s="196"/>
      <c r="H51" s="196"/>
      <c r="I51" s="196"/>
      <c r="J51" s="196"/>
      <c r="K51" s="196"/>
      <c r="L51" s="196"/>
      <c r="M51" s="196"/>
      <c r="N51" s="198"/>
      <c r="O51" s="199"/>
      <c r="P51" s="197"/>
      <c r="Q51" s="196"/>
      <c r="R51" s="196"/>
      <c r="S51" s="196"/>
      <c r="T51" s="196"/>
      <c r="U51" s="196"/>
      <c r="V51" s="196"/>
      <c r="W51" s="198"/>
    </row>
    <row r="52" spans="1:23" ht="12" customHeight="1">
      <c r="A52" s="199"/>
      <c r="B52" s="199"/>
      <c r="C52" s="199"/>
      <c r="D52" s="199"/>
      <c r="E52" s="199"/>
      <c r="F52" s="199"/>
      <c r="G52" s="199"/>
      <c r="H52" s="199"/>
      <c r="I52" s="199"/>
      <c r="J52" s="199"/>
      <c r="K52" s="199"/>
      <c r="L52" s="199"/>
      <c r="M52" s="199"/>
      <c r="N52" s="199"/>
      <c r="O52" s="199"/>
      <c r="P52" s="199"/>
      <c r="Q52" s="199"/>
      <c r="R52" s="199"/>
      <c r="S52" s="199"/>
      <c r="T52" s="199"/>
      <c r="U52" s="199"/>
      <c r="V52" s="199"/>
      <c r="W52" s="199"/>
    </row>
    <row r="53" spans="1:23" ht="6.75" customHeight="1">
      <c r="A53" s="199"/>
      <c r="B53" s="199"/>
      <c r="C53" s="199"/>
      <c r="D53" s="199"/>
      <c r="E53" s="199"/>
      <c r="F53" s="199"/>
      <c r="G53" s="199"/>
      <c r="H53" s="199"/>
      <c r="I53" s="199"/>
      <c r="J53" s="199"/>
      <c r="K53" s="199"/>
      <c r="L53" s="199"/>
      <c r="M53" s="199"/>
      <c r="N53" s="199"/>
      <c r="O53" s="199"/>
      <c r="P53" s="199"/>
      <c r="Q53" s="199"/>
      <c r="R53" s="199"/>
      <c r="S53" s="199"/>
      <c r="T53" s="199"/>
      <c r="U53" s="199"/>
      <c r="V53" s="199"/>
      <c r="W53" s="199"/>
    </row>
    <row r="54" spans="1:23" ht="6.75" customHeight="1">
      <c r="A54" s="199"/>
      <c r="B54" s="199"/>
      <c r="C54" s="199"/>
      <c r="D54" s="199"/>
      <c r="E54" s="199"/>
      <c r="F54" s="199"/>
      <c r="G54" s="199"/>
      <c r="H54" s="199"/>
      <c r="I54" s="199"/>
      <c r="J54" s="199"/>
      <c r="K54" s="199"/>
      <c r="L54" s="199"/>
      <c r="M54" s="199"/>
      <c r="N54" s="199"/>
      <c r="O54" s="199"/>
      <c r="P54" s="199"/>
      <c r="Q54" s="199"/>
      <c r="R54" s="199"/>
      <c r="S54" s="199"/>
      <c r="T54" s="199"/>
      <c r="U54" s="199"/>
      <c r="V54" s="199"/>
      <c r="W54" s="199"/>
    </row>
    <row r="55" spans="1:23" ht="18">
      <c r="A55" s="199"/>
      <c r="B55" s="199" t="s">
        <v>124</v>
      </c>
      <c r="C55" s="199"/>
      <c r="D55" s="199"/>
      <c r="E55" s="199"/>
      <c r="F55" s="199"/>
      <c r="G55" s="199"/>
      <c r="H55" s="199"/>
      <c r="I55" s="199"/>
      <c r="J55" s="199"/>
      <c r="K55" s="207" t="s">
        <v>125</v>
      </c>
      <c r="L55" s="416"/>
      <c r="M55" s="416"/>
      <c r="N55" s="416"/>
      <c r="O55" s="416"/>
      <c r="P55" s="416"/>
      <c r="Q55" s="416"/>
      <c r="R55" s="416"/>
      <c r="S55" s="207" t="s">
        <v>126</v>
      </c>
      <c r="T55" s="417"/>
      <c r="U55" s="417"/>
      <c r="V55" s="417"/>
      <c r="W55" s="417"/>
    </row>
    <row r="56" spans="1:23" ht="15">
      <c r="A56" s="199"/>
      <c r="B56" s="199"/>
      <c r="C56" s="199"/>
      <c r="D56" s="199"/>
      <c r="E56" s="199"/>
      <c r="F56" s="199"/>
      <c r="G56" s="199"/>
      <c r="H56" s="199"/>
      <c r="I56" s="199"/>
      <c r="J56" s="199"/>
      <c r="K56" s="199"/>
      <c r="L56" s="199"/>
      <c r="M56" s="199"/>
      <c r="N56" s="199"/>
      <c r="O56" s="199"/>
      <c r="P56" s="199"/>
      <c r="Q56" s="199"/>
      <c r="R56" s="199"/>
      <c r="S56" s="199"/>
      <c r="T56" s="199"/>
      <c r="U56" s="199"/>
      <c r="V56" s="199"/>
      <c r="W56" s="199"/>
    </row>
    <row r="57" spans="1:23" ht="15">
      <c r="A57" s="199"/>
      <c r="B57" s="199"/>
      <c r="C57" s="199"/>
      <c r="D57" s="199"/>
      <c r="E57" s="199"/>
      <c r="F57" s="199"/>
      <c r="G57" s="199"/>
      <c r="H57" s="199"/>
      <c r="I57" s="199"/>
      <c r="J57" s="199"/>
      <c r="K57" s="199"/>
      <c r="L57" s="199"/>
      <c r="M57" s="199"/>
      <c r="N57" s="418" t="s">
        <v>127</v>
      </c>
      <c r="O57" s="418"/>
      <c r="P57" s="418"/>
      <c r="Q57" s="418"/>
      <c r="R57" s="418"/>
      <c r="S57" s="418"/>
      <c r="T57" s="418"/>
      <c r="U57" s="418"/>
      <c r="V57" s="199"/>
      <c r="W57" s="199"/>
    </row>
    <row r="58" spans="1:23" ht="15.75">
      <c r="A58" s="199"/>
      <c r="B58" s="199"/>
      <c r="C58" s="199"/>
      <c r="D58" s="199"/>
      <c r="E58" s="199"/>
      <c r="F58" s="199"/>
      <c r="G58" s="199"/>
      <c r="H58" s="199"/>
      <c r="I58" s="199"/>
      <c r="J58" s="199"/>
      <c r="K58" s="199"/>
      <c r="L58" s="199"/>
      <c r="M58" s="199"/>
      <c r="N58" s="194" t="str">
        <f>dirjeu</f>
        <v>Robert REMY</v>
      </c>
      <c r="O58" s="195"/>
      <c r="P58" s="195"/>
      <c r="Q58" s="195"/>
      <c r="R58" s="195"/>
      <c r="S58" s="195"/>
      <c r="T58" s="195"/>
      <c r="U58" s="203"/>
      <c r="V58" s="199"/>
      <c r="W58" s="199"/>
    </row>
    <row r="59" spans="1:23" ht="15">
      <c r="A59" s="199"/>
      <c r="B59" s="199"/>
      <c r="C59" s="199"/>
      <c r="D59" s="199"/>
      <c r="E59" s="199"/>
      <c r="F59" s="199"/>
      <c r="G59" s="199"/>
      <c r="H59" s="199"/>
      <c r="I59" s="199"/>
      <c r="J59" s="199"/>
      <c r="K59" s="199"/>
      <c r="L59" s="199"/>
      <c r="M59" s="199"/>
      <c r="N59" s="208"/>
      <c r="O59" s="205"/>
      <c r="P59" s="205"/>
      <c r="Q59" s="205"/>
      <c r="R59" s="205"/>
      <c r="S59" s="205"/>
      <c r="T59" s="205"/>
      <c r="U59" s="206"/>
      <c r="V59" s="199"/>
      <c r="W59" s="199"/>
    </row>
    <row r="60" spans="1:23" ht="15">
      <c r="A60" s="199"/>
      <c r="B60" s="199"/>
      <c r="C60" s="199"/>
      <c r="D60" s="199"/>
      <c r="E60" s="199"/>
      <c r="F60" s="199"/>
      <c r="G60" s="199"/>
      <c r="H60" s="199"/>
      <c r="I60" s="199"/>
      <c r="J60" s="199"/>
      <c r="K60" s="199"/>
      <c r="L60" s="199"/>
      <c r="M60" s="199"/>
      <c r="N60" s="204"/>
      <c r="O60" s="205"/>
      <c r="P60" s="205"/>
      <c r="Q60" s="205"/>
      <c r="R60" s="205"/>
      <c r="S60" s="205"/>
      <c r="T60" s="205"/>
      <c r="U60" s="206"/>
      <c r="V60" s="199"/>
      <c r="W60" s="199"/>
    </row>
    <row r="61" spans="1:23" ht="15">
      <c r="A61" s="199"/>
      <c r="B61" s="199"/>
      <c r="C61" s="199"/>
      <c r="D61" s="199"/>
      <c r="E61" s="199"/>
      <c r="F61" s="199"/>
      <c r="G61" s="199"/>
      <c r="H61" s="199"/>
      <c r="I61" s="199"/>
      <c r="J61" s="199"/>
      <c r="K61" s="199"/>
      <c r="L61" s="199"/>
      <c r="M61" s="199"/>
      <c r="N61" s="197"/>
      <c r="O61" s="196"/>
      <c r="P61" s="196"/>
      <c r="Q61" s="196"/>
      <c r="R61" s="196"/>
      <c r="S61" s="196"/>
      <c r="T61" s="196"/>
      <c r="U61" s="198"/>
      <c r="V61" s="199"/>
      <c r="W61" s="199"/>
    </row>
    <row r="62" spans="1:23" ht="15">
      <c r="A62" s="185"/>
      <c r="B62" s="185"/>
      <c r="C62" s="185"/>
      <c r="D62" s="185"/>
      <c r="E62" s="185"/>
      <c r="F62" s="185"/>
      <c r="G62" s="185"/>
      <c r="H62" s="185"/>
      <c r="I62" s="185"/>
      <c r="J62" s="185"/>
      <c r="K62" s="185"/>
      <c r="L62" s="185"/>
      <c r="M62" s="185"/>
      <c r="N62" s="185"/>
      <c r="O62" s="185"/>
      <c r="P62" s="185"/>
      <c r="Q62" s="185"/>
      <c r="R62" s="185"/>
      <c r="S62" s="185"/>
      <c r="T62" s="185"/>
      <c r="U62" s="185"/>
      <c r="V62" s="185"/>
      <c r="W62" s="185"/>
    </row>
    <row r="63" spans="1:23" ht="15">
      <c r="A63" s="199"/>
      <c r="B63" s="131"/>
      <c r="C63" s="131"/>
      <c r="D63" s="131"/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24"/>
      <c r="P63" s="209"/>
      <c r="Q63" s="210"/>
      <c r="R63" s="131"/>
      <c r="S63" s="124"/>
      <c r="T63" s="124"/>
      <c r="U63" s="210"/>
      <c r="V63" s="131"/>
      <c r="W63" s="131"/>
    </row>
  </sheetData>
  <sheetProtection/>
  <mergeCells count="43">
    <mergeCell ref="L55:R55"/>
    <mergeCell ref="T55:W55"/>
    <mergeCell ref="N57:U57"/>
    <mergeCell ref="M7:M8"/>
    <mergeCell ref="S7:S8"/>
    <mergeCell ref="C43:H43"/>
    <mergeCell ref="L43:O43"/>
    <mergeCell ref="U43:W43"/>
    <mergeCell ref="F46:N46"/>
    <mergeCell ref="P46:W46"/>
    <mergeCell ref="G36:W36"/>
    <mergeCell ref="D38:W38"/>
    <mergeCell ref="R39:W39"/>
    <mergeCell ref="G41:W41"/>
    <mergeCell ref="A7:A8"/>
    <mergeCell ref="R27:W27"/>
    <mergeCell ref="G29:W29"/>
    <mergeCell ref="C31:H31"/>
    <mergeCell ref="L31:O31"/>
    <mergeCell ref="U31:W31"/>
    <mergeCell ref="A34:W34"/>
    <mergeCell ref="B18:G19"/>
    <mergeCell ref="J18:O19"/>
    <mergeCell ref="S18:V19"/>
    <mergeCell ref="W18:W19"/>
    <mergeCell ref="G24:W24"/>
    <mergeCell ref="D26:W26"/>
    <mergeCell ref="B12:G12"/>
    <mergeCell ref="J12:W12"/>
    <mergeCell ref="B13:G15"/>
    <mergeCell ref="J13:W15"/>
    <mergeCell ref="B17:G17"/>
    <mergeCell ref="J17:O17"/>
    <mergeCell ref="S17:W17"/>
    <mergeCell ref="C1:W1"/>
    <mergeCell ref="C2:W2"/>
    <mergeCell ref="C3:W3"/>
    <mergeCell ref="A5:W5"/>
    <mergeCell ref="B7:E8"/>
    <mergeCell ref="H7:K8"/>
    <mergeCell ref="N7:Q8"/>
    <mergeCell ref="T7:W8"/>
    <mergeCell ref="G7:G8"/>
  </mergeCells>
  <conditionalFormatting sqref="H22 M22 Q22 U22">
    <cfRule type="cellIs" priority="1" dxfId="1" operator="equal" stopIfTrue="1">
      <formula>1</formula>
    </cfRule>
    <cfRule type="cellIs" priority="2" dxfId="9" operator="equal" stopIfTrue="1">
      <formula>0</formula>
    </cfRule>
  </conditionalFormatting>
  <conditionalFormatting sqref="G7:G8 A7:A8 M7:M8 S7:S8">
    <cfRule type="cellIs" priority="3" dxfId="10" operator="equal" stopIfTrue="1">
      <formula>"X"</formula>
    </cfRule>
    <cfRule type="cellIs" priority="4" dxfId="9" operator="equal" stopIfTrue="1">
      <formula>0</formula>
    </cfRule>
  </conditionalFormatting>
  <printOptions horizontalCentered="1"/>
  <pageMargins left="0.1968503937007874" right="0.1968503937007874" top="0.1968503937007874" bottom="0.1968503937007874" header="0" footer="0"/>
  <pageSetup horizontalDpi="300" verticalDpi="300" orientation="portrait" paperSize="9" scale="75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K61"/>
  <sheetViews>
    <sheetView showGridLines="0" zoomScale="80" zoomScaleNormal="80" zoomScalePageLayoutView="0" workbookViewId="0" topLeftCell="A19">
      <selection activeCell="G55" sqref="G55:H59"/>
    </sheetView>
  </sheetViews>
  <sheetFormatPr defaultColWidth="11.5546875" defaultRowHeight="15"/>
  <cols>
    <col min="1" max="1" width="4.4453125" style="0" customWidth="1"/>
  </cols>
  <sheetData>
    <row r="1" spans="2:11" ht="30.75" thickTop="1">
      <c r="B1" s="419" t="s">
        <v>81</v>
      </c>
      <c r="C1" s="420"/>
      <c r="D1" s="420"/>
      <c r="E1" s="420"/>
      <c r="F1" s="420"/>
      <c r="G1" s="420"/>
      <c r="H1" s="420"/>
      <c r="I1" s="420"/>
      <c r="J1" s="420"/>
      <c r="K1" s="421"/>
    </row>
    <row r="2" spans="2:11" ht="15">
      <c r="B2" s="59"/>
      <c r="C2" s="60"/>
      <c r="D2" s="60"/>
      <c r="E2" s="60"/>
      <c r="F2" s="60"/>
      <c r="G2" s="60"/>
      <c r="H2" s="60"/>
      <c r="I2" s="60"/>
      <c r="J2" s="60"/>
      <c r="K2" s="61"/>
    </row>
    <row r="3" spans="2:11" ht="24" customHeight="1" thickBot="1">
      <c r="B3" s="62"/>
      <c r="C3" s="63" t="str">
        <f>design1</f>
        <v>DISTRICT</v>
      </c>
      <c r="D3" s="63"/>
      <c r="E3" s="63" t="str">
        <f>design2</f>
        <v>REGIONALE 1</v>
      </c>
      <c r="F3" s="64" t="s">
        <v>57</v>
      </c>
      <c r="G3" s="65" t="str">
        <f>bill</f>
        <v>2m80</v>
      </c>
      <c r="H3" s="64" t="s">
        <v>58</v>
      </c>
      <c r="I3" s="65">
        <f>DISTANCE</f>
        <v>25</v>
      </c>
      <c r="J3" s="63" t="s">
        <v>28</v>
      </c>
      <c r="K3" s="66"/>
    </row>
    <row r="4" spans="3:10" ht="37.5" customHeight="1" thickTop="1">
      <c r="C4" s="107" t="str">
        <f>lieue</f>
        <v>BILLARD CLUB SAINT GAUDENS</v>
      </c>
      <c r="D4" s="56"/>
      <c r="E4" s="56"/>
      <c r="F4" s="56"/>
      <c r="G4" s="108" t="str">
        <f>dat</f>
        <v> </v>
      </c>
      <c r="J4" s="109" t="str">
        <f>modjeu</f>
        <v>3 BANDES</v>
      </c>
    </row>
    <row r="6" ht="15.75" thickBot="1">
      <c r="B6" s="37"/>
    </row>
    <row r="7" spans="1:11" ht="15.75" thickTop="1">
      <c r="A7" s="106"/>
      <c r="B7" s="106"/>
      <c r="C7" s="106"/>
      <c r="D7" s="106"/>
      <c r="E7" s="106"/>
      <c r="F7" s="106"/>
      <c r="G7" s="106"/>
      <c r="H7" s="106"/>
      <c r="I7" s="106"/>
      <c r="J7" s="106"/>
      <c r="K7" s="106"/>
    </row>
    <row r="8" spans="3:10" ht="15">
      <c r="C8" s="37" t="s">
        <v>16</v>
      </c>
      <c r="E8" s="37" t="s">
        <v>5</v>
      </c>
      <c r="G8" s="26" t="s">
        <v>6</v>
      </c>
      <c r="I8" s="349" t="s">
        <v>67</v>
      </c>
      <c r="J8" s="349"/>
    </row>
    <row r="9" spans="1:10" ht="15.75">
      <c r="A9" s="58">
        <v>1</v>
      </c>
      <c r="C9" s="57" t="str">
        <f>VLOOKUP($A9,posdép,2,FALSE)</f>
        <v>BORTOLOTTO</v>
      </c>
      <c r="D9" s="57"/>
      <c r="E9" s="58" t="str">
        <f>VLOOKUP($A9,posdép,4,FALSE)</f>
        <v>Roland</v>
      </c>
      <c r="F9" s="57"/>
      <c r="G9" s="47" t="str">
        <f>VLOOKUP($A9,posdép,5,FALSE)</f>
        <v>St-Gaudens</v>
      </c>
      <c r="H9" s="57"/>
      <c r="I9" s="361" t="str">
        <f>VLOOKUP($A9,posdép,6,FALSE)</f>
        <v>105243-V</v>
      </c>
      <c r="J9" s="361"/>
    </row>
    <row r="11" ht="15.75" thickBot="1"/>
    <row r="12" spans="3:10" ht="19.5" customHeight="1">
      <c r="C12" s="48" t="s">
        <v>61</v>
      </c>
      <c r="D12" s="49" t="s">
        <v>62</v>
      </c>
      <c r="E12" s="50" t="s">
        <v>9</v>
      </c>
      <c r="F12" s="50" t="s">
        <v>13</v>
      </c>
      <c r="G12" s="50" t="s">
        <v>14</v>
      </c>
      <c r="H12" s="50" t="s">
        <v>15</v>
      </c>
      <c r="I12" s="50" t="s">
        <v>10</v>
      </c>
      <c r="J12" s="51" t="s">
        <v>66</v>
      </c>
    </row>
    <row r="13" spans="1:10" ht="19.5" customHeight="1">
      <c r="A13">
        <v>1</v>
      </c>
      <c r="C13" s="52">
        <f>IF(A9=1,1,IF(A9=4,1,2))</f>
        <v>1</v>
      </c>
      <c r="D13" s="53" t="str">
        <f>VLOOKUP($C13,tours,11,FALSE)</f>
        <v>DHUBERT</v>
      </c>
      <c r="E13" s="54">
        <f>VLOOKUP($C13,tours,4,FALSE)</f>
        <v>25</v>
      </c>
      <c r="F13" s="54">
        <f>VLOOKUP($C13,tours,5,FALSE)</f>
        <v>67</v>
      </c>
      <c r="G13" s="268">
        <f>IF(F13="","",E13/F13)</f>
        <v>0.373134328358209</v>
      </c>
      <c r="H13" s="268">
        <f>IF(E13=DISTANCE,G13,"-")</f>
        <v>0.373134328358209</v>
      </c>
      <c r="I13" s="221">
        <f>VLOOKUP($C13,tours,7,FALSE)</f>
        <v>2</v>
      </c>
      <c r="J13" s="55">
        <f>VLOOKUP($C13,tours,8,FALSE)</f>
        <v>2</v>
      </c>
    </row>
    <row r="14" spans="1:10" ht="19.5" customHeight="1">
      <c r="A14">
        <v>2</v>
      </c>
      <c r="C14" s="52">
        <f>VLOOKUP($C13,tours,9,FALSE)</f>
        <v>3</v>
      </c>
      <c r="D14" s="53" t="str">
        <f>IF(VLOOKUP($C14,tours,2,FALSE)=$C9,VLOOKUP($C14,tours,11,FALSE),VLOOKUP($C14,tours,2,FALSE))</f>
        <v>BRUNET</v>
      </c>
      <c r="E14" s="54">
        <f>IF(VLOOKUP($C14,tours,2,FALSE)=$C9,VLOOKUP($C14,tours,4,FALSE),VLOOKUP($C14,tours,13,FALSE))</f>
        <v>17</v>
      </c>
      <c r="F14" s="54">
        <f>IF(VLOOKUP($C14,tours,2,FALSE)=$C9,VLOOKUP($C14,tours,5,FALSE),VLOOKUP($C14,tours,14,FALSE))</f>
        <v>66</v>
      </c>
      <c r="G14" s="268">
        <f>IF(F14="","",E14/F14)</f>
        <v>0.25757575757575757</v>
      </c>
      <c r="H14" s="268" t="str">
        <f>IF(E14=DISTANCE,G14,"-")</f>
        <v>-</v>
      </c>
      <c r="I14" s="221">
        <f>IF(VLOOKUP($C14,tours,2,FALSE)=$C9,VLOOKUP($C14,tours,7,FALSE),VLOOKUP($C14,tours,17,FALSE))</f>
        <v>2</v>
      </c>
      <c r="J14" s="55">
        <f>IF(VLOOKUP($C14,tours,2,FALSE)=$C9,VLOOKUP($C14,tours,8,FALSE),VLOOKUP($C14,tours,18,FALSE))</f>
        <v>0</v>
      </c>
    </row>
    <row r="15" spans="1:10" ht="19.5" customHeight="1">
      <c r="A15">
        <v>3</v>
      </c>
      <c r="C15" s="52">
        <f>IF(VLOOKUP($C14,tours,2,FALSE)=$C9,VLOOKUP($C14,tours,9,FALSE),VLOOKUP($C14,tours,20,FALSE))</f>
        <v>5</v>
      </c>
      <c r="D15" s="53" t="str">
        <f>IF(VLOOKUP($C15,tours,2,FALSE)=$C9,VLOOKUP($C15,tours,11,FALSE),VLOOKUP($C15,tours,2,FALSE))</f>
        <v>GRISAT</v>
      </c>
      <c r="E15" s="54">
        <f>IF(VLOOKUP($C15,tours,2,FALSE)=$C9,VLOOKUP($C15,tours,4,FALSE),VLOOKUP($C15,tours,13,FALSE))</f>
        <v>18</v>
      </c>
      <c r="F15" s="54">
        <f>IF(VLOOKUP($C15,tours,2,FALSE)=$C9,VLOOKUP($C15,tours,5,FALSE),VLOOKUP($C15,tours,14,FALSE))</f>
        <v>65</v>
      </c>
      <c r="G15" s="268">
        <f>IF(F15="","",E15/F15)</f>
        <v>0.27692307692307694</v>
      </c>
      <c r="H15" s="268" t="str">
        <f>IF(E15=DISTANCE,G15,"-")</f>
        <v>-</v>
      </c>
      <c r="I15" s="221">
        <f>IF(VLOOKUP($C15,tours,2,FALSE)=$C9,VLOOKUP($C15,tours,7,FALSE),VLOOKUP($C15,tours,17,FALSE))</f>
        <v>4</v>
      </c>
      <c r="J15" s="55">
        <f>IF(VLOOKUP($C15,tours,2,FALSE)=$C9,VLOOKUP($C15,tours,8,FALSE),VLOOKUP($C15,tours,18,FALSE))</f>
        <v>0</v>
      </c>
    </row>
    <row r="16" spans="3:10" ht="19.5" customHeight="1" thickBot="1">
      <c r="C16" s="52"/>
      <c r="D16" s="53"/>
      <c r="E16" s="54"/>
      <c r="F16" s="54"/>
      <c r="G16" s="268"/>
      <c r="H16" s="268"/>
      <c r="I16" s="221"/>
      <c r="J16" s="55"/>
    </row>
    <row r="17" spans="1:10" ht="19.5" customHeight="1" thickBot="1">
      <c r="A17" s="38" t="s">
        <v>68</v>
      </c>
      <c r="C17" s="86"/>
      <c r="D17" s="87" t="s">
        <v>64</v>
      </c>
      <c r="E17" s="88">
        <f>SUM(E13:E15)</f>
        <v>60</v>
      </c>
      <c r="F17" s="88">
        <f>SUM(F13:F15)</f>
        <v>198</v>
      </c>
      <c r="G17" s="269">
        <f>IF(F17=0,"",E17/F17)</f>
        <v>0.30303030303030304</v>
      </c>
      <c r="H17" s="269">
        <f>MAX(H13:H15)</f>
        <v>0.373134328358209</v>
      </c>
      <c r="I17" s="89">
        <f>MAX(I13:I15)</f>
        <v>4</v>
      </c>
      <c r="J17" s="90">
        <f>SUM(J13:J15)</f>
        <v>2</v>
      </c>
    </row>
    <row r="19" spans="3:5" ht="15.75">
      <c r="C19" s="57" t="s">
        <v>65</v>
      </c>
      <c r="D19" s="57"/>
      <c r="E19" s="57" t="str">
        <f>VLOOKUP($C9,term,2,FALSE)</f>
        <v>3ème</v>
      </c>
    </row>
    <row r="20" ht="15.75" thickBot="1"/>
    <row r="21" spans="1:11" ht="15.75" thickTop="1">
      <c r="A21" s="106"/>
      <c r="B21" s="106"/>
      <c r="C21" s="106"/>
      <c r="D21" s="106"/>
      <c r="E21" s="106"/>
      <c r="F21" s="106"/>
      <c r="G21" s="106"/>
      <c r="H21" s="106"/>
      <c r="I21" s="106"/>
      <c r="J21" s="106"/>
      <c r="K21" s="106"/>
    </row>
    <row r="22" spans="3:10" ht="15">
      <c r="C22" s="37" t="s">
        <v>16</v>
      </c>
      <c r="E22" s="37" t="s">
        <v>5</v>
      </c>
      <c r="G22" s="26" t="s">
        <v>6</v>
      </c>
      <c r="I22" s="349" t="s">
        <v>67</v>
      </c>
      <c r="J22" s="349"/>
    </row>
    <row r="23" spans="1:10" ht="15.75">
      <c r="A23" s="58">
        <v>2</v>
      </c>
      <c r="C23" s="57" t="str">
        <f>VLOOKUP($A23,posdép,2,FALSE)</f>
        <v>BRUNET</v>
      </c>
      <c r="D23" s="57"/>
      <c r="E23" s="58" t="str">
        <f>VLOOKUP($A23,posdép,4,FALSE)</f>
        <v>Christian</v>
      </c>
      <c r="F23" s="57"/>
      <c r="G23" s="47" t="str">
        <f>VLOOKUP($A23,posdép,5,FALSE)</f>
        <v>St-Gaudens</v>
      </c>
      <c r="H23" s="57"/>
      <c r="I23" s="361" t="str">
        <f>VLOOKUP($A23,posdép,6,FALSE)</f>
        <v>109368-M</v>
      </c>
      <c r="J23" s="361"/>
    </row>
    <row r="25" ht="15.75" thickBot="1"/>
    <row r="26" spans="3:10" ht="19.5" customHeight="1">
      <c r="C26" s="48" t="s">
        <v>61</v>
      </c>
      <c r="D26" s="49" t="s">
        <v>62</v>
      </c>
      <c r="E26" s="50" t="s">
        <v>9</v>
      </c>
      <c r="F26" s="50" t="s">
        <v>13</v>
      </c>
      <c r="G26" s="50" t="s">
        <v>14</v>
      </c>
      <c r="H26" s="50" t="s">
        <v>15</v>
      </c>
      <c r="I26" s="50" t="s">
        <v>10</v>
      </c>
      <c r="J26" s="51" t="s">
        <v>66</v>
      </c>
    </row>
    <row r="27" spans="1:10" ht="19.5" customHeight="1">
      <c r="A27">
        <v>1</v>
      </c>
      <c r="C27" s="52">
        <f>IF(A23=1,1,IF(A23=4,1,2))</f>
        <v>2</v>
      </c>
      <c r="D27" s="53" t="str">
        <f>VLOOKUP($C27,tours,11,FALSE)</f>
        <v>GRISAT</v>
      </c>
      <c r="E27" s="54">
        <f>VLOOKUP($C27,tours,4,FALSE)</f>
        <v>25</v>
      </c>
      <c r="F27" s="54">
        <f>VLOOKUP($C27,tours,5,FALSE)</f>
        <v>54</v>
      </c>
      <c r="G27" s="268">
        <f>IF(F27="","",E27/F27)</f>
        <v>0.46296296296296297</v>
      </c>
      <c r="H27" s="268">
        <f>IF(E27=DISTANCE,G27,"-")</f>
        <v>0.46296296296296297</v>
      </c>
      <c r="I27" s="221">
        <f>VLOOKUP($C27,tours,7,FALSE)</f>
        <v>4</v>
      </c>
      <c r="J27" s="55">
        <f>VLOOKUP($C27,tours,8,FALSE)</f>
        <v>2</v>
      </c>
    </row>
    <row r="28" spans="1:10" ht="19.5" customHeight="1">
      <c r="A28">
        <v>2</v>
      </c>
      <c r="C28" s="52">
        <f>VLOOKUP($C27,tours,9,FALSE)</f>
        <v>3</v>
      </c>
      <c r="D28" s="53" t="str">
        <f>IF(VLOOKUP($C28,tours,2,FALSE)=$C23,VLOOKUP($C28,tours,11,FALSE),VLOOKUP($C28,tours,2,FALSE))</f>
        <v>BORTOLOTTO</v>
      </c>
      <c r="E28" s="54">
        <f>IF(VLOOKUP($C28,tours,2,FALSE)=$C23,VLOOKUP($C28,tours,4,FALSE),VLOOKUP($C28,tours,13,FALSE))</f>
        <v>25</v>
      </c>
      <c r="F28" s="54">
        <f>IF(VLOOKUP($C28,tours,2,FALSE)=$C23,VLOOKUP($C28,tours,5,FALSE),VLOOKUP($C28,tours,14,FALSE))</f>
        <v>66</v>
      </c>
      <c r="G28" s="268">
        <f>IF(F28="","",E28/F28)</f>
        <v>0.3787878787878788</v>
      </c>
      <c r="H28" s="268">
        <f>IF(E28=DISTANCE,G28,"-")</f>
        <v>0.3787878787878788</v>
      </c>
      <c r="I28" s="221">
        <f>IF(VLOOKUP($C28,tours,2,FALSE)=$C23,VLOOKUP($C28,tours,7,FALSE),VLOOKUP($C28,tours,17,FALSE))</f>
        <v>1</v>
      </c>
      <c r="J28" s="55">
        <f>IF(VLOOKUP($C28,tours,2,FALSE)=$C23,VLOOKUP($C28,tours,8,FALSE),VLOOKUP($C28,tours,18,FALSE))</f>
        <v>2</v>
      </c>
    </row>
    <row r="29" spans="1:10" ht="19.5" customHeight="1">
      <c r="A29">
        <v>3</v>
      </c>
      <c r="C29" s="52">
        <f>IF(VLOOKUP($C28,tours,2,FALSE)=$C23,VLOOKUP($C28,tours,9,FALSE),VLOOKUP($C28,tours,20,FALSE))</f>
        <v>6</v>
      </c>
      <c r="D29" s="53" t="str">
        <f>IF(VLOOKUP($C29,tours,2,FALSE)=$C23,VLOOKUP($C29,tours,11,FALSE),VLOOKUP($C29,tours,2,FALSE))</f>
        <v>DHUBERT</v>
      </c>
      <c r="E29" s="54">
        <f>IF(VLOOKUP($C29,tours,2,FALSE)=$C23,VLOOKUP($C29,tours,4,FALSE),VLOOKUP($C29,tours,13,FALSE))</f>
        <v>25</v>
      </c>
      <c r="F29" s="54">
        <f>IF(VLOOKUP($C29,tours,2,FALSE)=$C23,VLOOKUP($C29,tours,5,FALSE),VLOOKUP($C29,tours,14,FALSE))</f>
        <v>57</v>
      </c>
      <c r="G29" s="268">
        <f>IF(F29="","",E29/F29)</f>
        <v>0.43859649122807015</v>
      </c>
      <c r="H29" s="268">
        <f>IF(E29=DISTANCE,G29,"-")</f>
        <v>0.43859649122807015</v>
      </c>
      <c r="I29" s="221">
        <f>IF(VLOOKUP($C29,tours,2,FALSE)=$C23,VLOOKUP($C29,tours,7,FALSE),VLOOKUP($C29,tours,17,FALSE))</f>
        <v>2</v>
      </c>
      <c r="J29" s="55">
        <f>IF(VLOOKUP($C29,tours,2,FALSE)=$C23,VLOOKUP($C29,tours,8,FALSE),VLOOKUP($C29,tours,18,FALSE))</f>
        <v>2</v>
      </c>
    </row>
    <row r="30" spans="3:10" ht="19.5" customHeight="1" thickBot="1">
      <c r="C30" s="52"/>
      <c r="D30" s="53"/>
      <c r="E30" s="54"/>
      <c r="F30" s="54"/>
      <c r="G30" s="268"/>
      <c r="H30" s="268"/>
      <c r="I30" s="221"/>
      <c r="J30" s="55"/>
    </row>
    <row r="31" spans="1:10" ht="19.5" customHeight="1" thickBot="1">
      <c r="A31" s="38" t="s">
        <v>68</v>
      </c>
      <c r="C31" s="86"/>
      <c r="D31" s="87" t="s">
        <v>64</v>
      </c>
      <c r="E31" s="88">
        <f>SUM(E27:E29)</f>
        <v>75</v>
      </c>
      <c r="F31" s="88">
        <f>SUM(F27:F29)</f>
        <v>177</v>
      </c>
      <c r="G31" s="269">
        <f>IF(F31=0,"",E31/F31)</f>
        <v>0.423728813559322</v>
      </c>
      <c r="H31" s="269">
        <f>MAX(H27:H29)</f>
        <v>0.46296296296296297</v>
      </c>
      <c r="I31" s="89">
        <f>MAX(I27:I29)</f>
        <v>4</v>
      </c>
      <c r="J31" s="90">
        <f>SUM(J27:J29)</f>
        <v>6</v>
      </c>
    </row>
    <row r="33" spans="3:5" ht="15.75">
      <c r="C33" s="57" t="s">
        <v>65</v>
      </c>
      <c r="D33" s="57"/>
      <c r="E33" s="57" t="str">
        <f>VLOOKUP($C23,term,2,FALSE)</f>
        <v>1er</v>
      </c>
    </row>
    <row r="34" ht="15.75" thickBot="1">
      <c r="B34" s="37"/>
    </row>
    <row r="35" spans="1:11" ht="15.75" thickTop="1">
      <c r="A35" s="106"/>
      <c r="B35" s="106"/>
      <c r="C35" s="106"/>
      <c r="D35" s="106"/>
      <c r="E35" s="106"/>
      <c r="F35" s="106"/>
      <c r="G35" s="106"/>
      <c r="H35" s="106"/>
      <c r="I35" s="106"/>
      <c r="J35" s="106"/>
      <c r="K35" s="106"/>
    </row>
    <row r="36" spans="3:10" ht="15">
      <c r="C36" s="37" t="s">
        <v>16</v>
      </c>
      <c r="E36" s="37" t="s">
        <v>5</v>
      </c>
      <c r="G36" s="26" t="s">
        <v>6</v>
      </c>
      <c r="I36" s="349" t="s">
        <v>67</v>
      </c>
      <c r="J36" s="349"/>
    </row>
    <row r="37" spans="1:10" ht="15.75">
      <c r="A37" s="58">
        <v>3</v>
      </c>
      <c r="C37" s="57" t="str">
        <f>VLOOKUP($A37,posdép,2,FALSE)</f>
        <v>GRISAT</v>
      </c>
      <c r="D37" s="57"/>
      <c r="E37" s="58" t="str">
        <f>VLOOKUP($A37,posdép,4,FALSE)</f>
        <v>Daniel</v>
      </c>
      <c r="F37" s="57"/>
      <c r="G37" s="47" t="str">
        <f>VLOOKUP($A37,posdép,5,FALSE)</f>
        <v>St-Gaudens</v>
      </c>
      <c r="H37" s="57"/>
      <c r="I37" s="361" t="str">
        <f>VLOOKUP($A37,posdép,6,FALSE)</f>
        <v>109360-E</v>
      </c>
      <c r="J37" s="361"/>
    </row>
    <row r="39" ht="15.75" thickBot="1"/>
    <row r="40" spans="3:10" ht="19.5" customHeight="1">
      <c r="C40" s="48" t="s">
        <v>61</v>
      </c>
      <c r="D40" s="49" t="s">
        <v>62</v>
      </c>
      <c r="E40" s="50" t="s">
        <v>9</v>
      </c>
      <c r="F40" s="50" t="s">
        <v>13</v>
      </c>
      <c r="G40" s="50" t="s">
        <v>14</v>
      </c>
      <c r="H40" s="50" t="s">
        <v>15</v>
      </c>
      <c r="I40" s="50" t="s">
        <v>10</v>
      </c>
      <c r="J40" s="51" t="s">
        <v>66</v>
      </c>
    </row>
    <row r="41" spans="1:10" ht="19.5" customHeight="1">
      <c r="A41">
        <v>1</v>
      </c>
      <c r="C41" s="52">
        <f>IF(A37=1,1,IF(A37=4,1,2))</f>
        <v>2</v>
      </c>
      <c r="D41" s="53" t="str">
        <f>VLOOKUP($C41,tours,2,FALSE)</f>
        <v>BRUNET</v>
      </c>
      <c r="E41" s="54">
        <f>VLOOKUP($C41,tours,13,FALSE)</f>
        <v>23</v>
      </c>
      <c r="F41" s="54">
        <f>VLOOKUP($C41,tours,14,FALSE)</f>
        <v>54</v>
      </c>
      <c r="G41" s="268">
        <f>IF(F41="","",E41/F41)</f>
        <v>0.42592592592592593</v>
      </c>
      <c r="H41" s="268" t="str">
        <f>IF(E41=DISTANCE,G41,"-")</f>
        <v>-</v>
      </c>
      <c r="I41" s="221">
        <f>VLOOKUP($C41,tours,17,FALSE)</f>
        <v>2</v>
      </c>
      <c r="J41" s="55">
        <f>VLOOKUP($C41,tours,18,FALSE)</f>
        <v>0</v>
      </c>
    </row>
    <row r="42" spans="1:10" ht="19.5" customHeight="1">
      <c r="A42">
        <v>2</v>
      </c>
      <c r="C42" s="52">
        <f>VLOOKUP($C41,tours,20,FALSE)</f>
        <v>4</v>
      </c>
      <c r="D42" s="53" t="str">
        <f>IF(VLOOKUP($C42,tours,2,FALSE)=$C37,VLOOKUP($C42,tours,11,FALSE),VLOOKUP($C42,tours,2,FALSE))</f>
        <v>DHUBERT</v>
      </c>
      <c r="E42" s="54">
        <f>IF(VLOOKUP($C42,tours,2,FALSE)=$C37,VLOOKUP($C42,tours,4,FALSE),VLOOKUP($C42,tours,13,FALSE))</f>
        <v>25</v>
      </c>
      <c r="F42" s="54">
        <f>IF(VLOOKUP($C42,tours,2,FALSE)=$C37,VLOOKUP($C42,tours,5,FALSE),VLOOKUP($C42,tours,14,FALSE))</f>
        <v>91</v>
      </c>
      <c r="G42" s="268">
        <f>IF(F42="","",E42/F42)</f>
        <v>0.27472527472527475</v>
      </c>
      <c r="H42" s="268">
        <f>IF(E42=DISTANCE,G42,"-")</f>
        <v>0.27472527472527475</v>
      </c>
      <c r="I42" s="221">
        <f>IF(VLOOKUP($C42,tours,2,FALSE)=$C37,VLOOKUP($C42,tours,7,FALSE),VLOOKUP($C42,tours,17,FALSE))</f>
        <v>10</v>
      </c>
      <c r="J42" s="55">
        <f>IF(VLOOKUP($C42,tours,2,FALSE)=$C37,VLOOKUP($C42,tours,8,FALSE),VLOOKUP($C42,tours,18,FALSE))</f>
        <v>2</v>
      </c>
    </row>
    <row r="43" spans="1:10" ht="19.5" customHeight="1">
      <c r="A43">
        <v>3</v>
      </c>
      <c r="C43" s="52">
        <f>IF(VLOOKUP($C42,tours,2,FALSE)=$C37,VLOOKUP($C42,tours,9,FALSE),VLOOKUP($C42,tours,20,FALSE))</f>
        <v>5</v>
      </c>
      <c r="D43" s="53" t="str">
        <f>IF(VLOOKUP($C43,tours,2,FALSE)=$C37,VLOOKUP($C43,tours,11,FALSE),VLOOKUP($C43,tours,2,FALSE))</f>
        <v>BORTOLOTTO</v>
      </c>
      <c r="E43" s="54">
        <f>IF(VLOOKUP($C43,tours,2,FALSE)=$C37,VLOOKUP($C43,tours,4,FALSE),VLOOKUP($C43,tours,13,FALSE))</f>
        <v>25</v>
      </c>
      <c r="F43" s="54">
        <f>IF(VLOOKUP($C43,tours,2,FALSE)=$C37,VLOOKUP($C43,tours,5,FALSE),VLOOKUP($C43,tours,14,FALSE))</f>
        <v>65</v>
      </c>
      <c r="G43" s="268">
        <f>IF(F43="","",E43/F43)</f>
        <v>0.38461538461538464</v>
      </c>
      <c r="H43" s="268">
        <f>IF(E43=DISTANCE,G43,"-")</f>
        <v>0.38461538461538464</v>
      </c>
      <c r="I43" s="221">
        <f>IF(VLOOKUP($C43,tours,2,FALSE)=$C37,VLOOKUP($C43,tours,7,FALSE),VLOOKUP($C43,tours,17,FALSE))</f>
        <v>2</v>
      </c>
      <c r="J43" s="55">
        <f>IF(VLOOKUP($C43,tours,2,FALSE)=$C37,VLOOKUP($C43,tours,8,FALSE),VLOOKUP($C43,tours,18,FALSE))</f>
        <v>2</v>
      </c>
    </row>
    <row r="44" spans="3:10" ht="19.5" customHeight="1" thickBot="1">
      <c r="C44" s="52"/>
      <c r="D44" s="53"/>
      <c r="E44" s="54"/>
      <c r="F44" s="54"/>
      <c r="G44" s="268"/>
      <c r="H44" s="268"/>
      <c r="I44" s="221"/>
      <c r="J44" s="55"/>
    </row>
    <row r="45" spans="1:10" ht="19.5" customHeight="1" thickBot="1">
      <c r="A45" s="38" t="s">
        <v>68</v>
      </c>
      <c r="C45" s="86"/>
      <c r="D45" s="87" t="s">
        <v>64</v>
      </c>
      <c r="E45" s="88">
        <f>SUM(E41:E43)</f>
        <v>73</v>
      </c>
      <c r="F45" s="88">
        <f>SUM(F41:F43)</f>
        <v>210</v>
      </c>
      <c r="G45" s="269">
        <f>IF(F45=0,"",E45/F45)</f>
        <v>0.3476190476190476</v>
      </c>
      <c r="H45" s="269">
        <f>MAX(H41:H43)</f>
        <v>0.38461538461538464</v>
      </c>
      <c r="I45" s="89">
        <f>MAX(I41:I43)</f>
        <v>10</v>
      </c>
      <c r="J45" s="90">
        <f>SUM(J41:J43)</f>
        <v>4</v>
      </c>
    </row>
    <row r="47" spans="3:5" ht="15.75">
      <c r="C47" s="57" t="s">
        <v>65</v>
      </c>
      <c r="D47" s="57"/>
      <c r="E47" s="57" t="str">
        <f>VLOOKUP($C37,term,2,FALSE)</f>
        <v>2ème</v>
      </c>
    </row>
    <row r="48" ht="15.75" thickBot="1">
      <c r="B48" s="37"/>
    </row>
    <row r="49" spans="1:11" ht="15.75" thickTop="1">
      <c r="A49" s="106"/>
      <c r="B49" s="106"/>
      <c r="C49" s="106"/>
      <c r="D49" s="106"/>
      <c r="E49" s="106"/>
      <c r="F49" s="106"/>
      <c r="G49" s="106"/>
      <c r="H49" s="106"/>
      <c r="I49" s="106"/>
      <c r="J49" s="106"/>
      <c r="K49" s="106"/>
    </row>
    <row r="50" spans="3:10" ht="15">
      <c r="C50" s="37" t="s">
        <v>16</v>
      </c>
      <c r="E50" s="37" t="s">
        <v>5</v>
      </c>
      <c r="G50" s="26" t="s">
        <v>6</v>
      </c>
      <c r="I50" s="349" t="s">
        <v>67</v>
      </c>
      <c r="J50" s="349"/>
    </row>
    <row r="51" spans="1:10" ht="15.75">
      <c r="A51" s="58">
        <v>4</v>
      </c>
      <c r="C51" s="57" t="str">
        <f>VLOOKUP($A51,posdép,2,FALSE)</f>
        <v>DHUBERT</v>
      </c>
      <c r="D51" s="57"/>
      <c r="E51" s="58" t="str">
        <f>VLOOKUP($A51,posdép,4,FALSE)</f>
        <v>Jean Pierre</v>
      </c>
      <c r="F51" s="57"/>
      <c r="G51" s="47" t="str">
        <f>VLOOKUP($A51,posdép,5,FALSE)</f>
        <v>St-Gaudens</v>
      </c>
      <c r="H51" s="57"/>
      <c r="I51" s="361" t="str">
        <f>VLOOKUP($A51,posdép,6,FALSE)</f>
        <v>106976-M</v>
      </c>
      <c r="J51" s="361"/>
    </row>
    <row r="53" ht="15.75" thickBot="1"/>
    <row r="54" spans="3:10" ht="19.5" customHeight="1">
      <c r="C54" s="48" t="s">
        <v>61</v>
      </c>
      <c r="D54" s="49" t="s">
        <v>62</v>
      </c>
      <c r="E54" s="50" t="s">
        <v>9</v>
      </c>
      <c r="F54" s="50" t="s">
        <v>13</v>
      </c>
      <c r="G54" s="50" t="s">
        <v>14</v>
      </c>
      <c r="H54" s="50" t="s">
        <v>15</v>
      </c>
      <c r="I54" s="50" t="s">
        <v>10</v>
      </c>
      <c r="J54" s="51" t="s">
        <v>66</v>
      </c>
    </row>
    <row r="55" spans="1:10" ht="19.5" customHeight="1">
      <c r="A55">
        <v>1</v>
      </c>
      <c r="C55" s="52">
        <f>IF(A51=1,1,IF(A51=4,1,2))</f>
        <v>1</v>
      </c>
      <c r="D55" s="53" t="str">
        <f>VLOOKUP($C55,tours,2,FALSE)</f>
        <v>BORTOLOTTO</v>
      </c>
      <c r="E55" s="54">
        <f>VLOOKUP($C55,tours,13,FALSE)</f>
        <v>12</v>
      </c>
      <c r="F55" s="54">
        <f>VLOOKUP($C55,tours,14,FALSE)</f>
        <v>67</v>
      </c>
      <c r="G55" s="268">
        <f>IF(F55="","",E55/F55)</f>
        <v>0.1791044776119403</v>
      </c>
      <c r="H55" s="268" t="str">
        <f>IF(E55=DISTANCE,G55,"-")</f>
        <v>-</v>
      </c>
      <c r="I55" s="221">
        <f>VLOOKUP($C55,tours,17,FALSE)</f>
        <v>2</v>
      </c>
      <c r="J55" s="55">
        <f>VLOOKUP($C55,tours,18,FALSE)</f>
        <v>0</v>
      </c>
    </row>
    <row r="56" spans="1:10" ht="19.5" customHeight="1">
      <c r="A56">
        <v>2</v>
      </c>
      <c r="C56" s="52">
        <f>VLOOKUP($C55,tours,20,FALSE)</f>
        <v>4</v>
      </c>
      <c r="D56" s="53" t="str">
        <f>IF(VLOOKUP($C56,tours,2,FALSE)=$C51,VLOOKUP($C56,tours,11,FALSE),VLOOKUP($C56,tours,2,FALSE))</f>
        <v>GRISAT</v>
      </c>
      <c r="E56" s="54">
        <f>IF(VLOOKUP($C56,tours,2,FALSE)=$C51,VLOOKUP($C56,tours,4,FALSE),VLOOKUP($C56,tours,13,FALSE))</f>
        <v>20</v>
      </c>
      <c r="F56" s="54">
        <f>IF(VLOOKUP($C56,tours,2,FALSE)=$C51,VLOOKUP($C56,tours,5,FALSE),VLOOKUP($C56,tours,14,FALSE))</f>
        <v>91</v>
      </c>
      <c r="G56" s="268">
        <f>IF(F56="","",E56/F56)</f>
        <v>0.21978021978021978</v>
      </c>
      <c r="H56" s="268" t="str">
        <f>IF(E56=DISTANCE,G56,"-")</f>
        <v>-</v>
      </c>
      <c r="I56" s="221">
        <f>IF(VLOOKUP($C56,tours,2,FALSE)=$C51,VLOOKUP($C56,tours,7,FALSE),VLOOKUP($C56,tours,17,FALSE))</f>
        <v>10</v>
      </c>
      <c r="J56" s="55">
        <f>IF(VLOOKUP($C56,tours,2,FALSE)=$C51,VLOOKUP($C56,tours,8,FALSE),VLOOKUP($C56,tours,18,FALSE))</f>
        <v>0</v>
      </c>
    </row>
    <row r="57" spans="1:10" ht="19.5" customHeight="1">
      <c r="A57">
        <v>3</v>
      </c>
      <c r="C57" s="52">
        <f>IF(VLOOKUP($C56,tours,2,FALSE)=$C51,VLOOKUP($C56,tours,9,FALSE),VLOOKUP($C56,tours,20,FALSE))</f>
        <v>6</v>
      </c>
      <c r="D57" s="53" t="str">
        <f>IF(VLOOKUP($C57,tours,2,FALSE)=$C51,VLOOKUP($C57,tours,11,FALSE),VLOOKUP($C57,tours,2,FALSE))</f>
        <v>BRUNET</v>
      </c>
      <c r="E57" s="54">
        <f>IF(VLOOKUP($C57,tours,2,FALSE)=$C51,VLOOKUP($C57,tours,4,FALSE),VLOOKUP($C57,tours,13,FALSE))</f>
        <v>22</v>
      </c>
      <c r="F57" s="54">
        <f>IF(VLOOKUP($C57,tours,2,FALSE)=$C51,VLOOKUP($C57,tours,5,FALSE),VLOOKUP($C57,tours,14,FALSE))</f>
        <v>57</v>
      </c>
      <c r="G57" s="268">
        <f>IF(F57="","",E57/F57)</f>
        <v>0.38596491228070173</v>
      </c>
      <c r="H57" s="268" t="str">
        <f>IF(E57=DISTANCE,G57,"-")</f>
        <v>-</v>
      </c>
      <c r="I57" s="221">
        <f>IF(VLOOKUP($C57,tours,2,FALSE)=$C51,VLOOKUP($C57,tours,7,FALSE),VLOOKUP($C57,tours,17,FALSE))</f>
        <v>2</v>
      </c>
      <c r="J57" s="55">
        <f>IF(VLOOKUP($C57,tours,2,FALSE)=$C51,VLOOKUP($C57,tours,8,FALSE),VLOOKUP($C57,tours,18,FALSE))</f>
        <v>0</v>
      </c>
    </row>
    <row r="58" spans="3:10" ht="19.5" customHeight="1" thickBot="1">
      <c r="C58" s="82"/>
      <c r="D58" s="83"/>
      <c r="E58" s="84"/>
      <c r="F58" s="84"/>
      <c r="G58" s="268"/>
      <c r="H58" s="268"/>
      <c r="I58" s="221"/>
      <c r="J58" s="85"/>
    </row>
    <row r="59" spans="1:10" ht="15.75" thickBot="1">
      <c r="A59" s="38" t="s">
        <v>68</v>
      </c>
      <c r="C59" s="86"/>
      <c r="D59" s="87" t="s">
        <v>64</v>
      </c>
      <c r="E59" s="88">
        <f>SUM(E55:E57)</f>
        <v>54</v>
      </c>
      <c r="F59" s="88">
        <f>SUM(F55:F57)</f>
        <v>215</v>
      </c>
      <c r="G59" s="269">
        <f>IF(F59=0,"",E59/F59)</f>
        <v>0.25116279069767444</v>
      </c>
      <c r="H59" s="269">
        <f>MAX(H55:H57)</f>
        <v>0</v>
      </c>
      <c r="I59" s="89">
        <f>MAX(I55:I57)</f>
        <v>10</v>
      </c>
      <c r="J59" s="90">
        <f>SUM(J55:J57)</f>
        <v>0</v>
      </c>
    </row>
    <row r="61" spans="3:5" ht="15.75">
      <c r="C61" s="57" t="s">
        <v>65</v>
      </c>
      <c r="D61" s="57"/>
      <c r="E61" s="57" t="str">
        <f>VLOOKUP($C51,term,2,FALSE)</f>
        <v>4ème</v>
      </c>
    </row>
  </sheetData>
  <sheetProtection sheet="1" objects="1" scenarios="1"/>
  <mergeCells count="9">
    <mergeCell ref="I51:J51"/>
    <mergeCell ref="I22:J22"/>
    <mergeCell ref="I23:J23"/>
    <mergeCell ref="I36:J36"/>
    <mergeCell ref="I37:J37"/>
    <mergeCell ref="B1:K1"/>
    <mergeCell ref="I8:J8"/>
    <mergeCell ref="I9:J9"/>
    <mergeCell ref="I50:J50"/>
  </mergeCells>
  <printOptions horizontalCentered="1"/>
  <pageMargins left="0.1968503937007874" right="0.1968503937007874" top="0.1968503937007874" bottom="0.1968503937007874" header="0" footer="0"/>
  <pageSetup fitToHeight="1" fitToWidth="1" horizontalDpi="300" verticalDpi="3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gong</dc:creator>
  <cp:keywords>toto</cp:keywords>
  <dc:description/>
  <cp:lastModifiedBy>utilisateur</cp:lastModifiedBy>
  <cp:lastPrinted>2010-02-07T09:08:17Z</cp:lastPrinted>
  <dcterms:created xsi:type="dcterms:W3CDTF">2000-07-27T15:36:31Z</dcterms:created>
  <dcterms:modified xsi:type="dcterms:W3CDTF">2010-02-15T08:21:23Z</dcterms:modified>
  <cp:category/>
  <cp:version/>
  <cp:contentType/>
  <cp:contentStatus/>
</cp:coreProperties>
</file>