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tabRatio="623" activeTab="2"/>
  </bookViews>
  <sheets>
    <sheet name="LISTE" sheetId="1" r:id="rId1"/>
    <sheet name="MATCHES" sheetId="2" r:id="rId2"/>
    <sheet name="FEUILLE POULE" sheetId="3" r:id="rId3"/>
    <sheet name="JOUEURS" sheetId="4" r:id="rId4"/>
    <sheet name="ENGAGEMENT" sheetId="5" r:id="rId5"/>
    <sheet name="toutes" sheetId="6" r:id="rId6"/>
  </sheets>
  <definedNames>
    <definedName name="bill">'LISTE'!$C$4</definedName>
    <definedName name="cin">'JOUEURS'!$D$113:$M$118</definedName>
    <definedName name="clas">'FEUILLE POULE'!$W$36:$AD$42</definedName>
    <definedName name="clasfin2">'FEUILLE POULE'!$W$36:$AE$42</definedName>
    <definedName name="classement">#REF!</definedName>
    <definedName name="CLUB1">'LISTE'!$D$13:$D$13</definedName>
    <definedName name="CLUB2">'LISTE'!$D$14:$D$14</definedName>
    <definedName name="CLUB3">'LISTE'!$D$15:$D$15</definedName>
    <definedName name="CLUB4">'LISTE'!$D$16:$D$16</definedName>
    <definedName name="CLUB5">'LISTE'!$D$17</definedName>
    <definedName name="CLUB6">'LISTE'!$D$18</definedName>
    <definedName name="dat">'LISTE'!$C$9</definedName>
    <definedName name="design1">'LISTE'!$C$3</definedName>
    <definedName name="design2">'LISTE'!$C$7</definedName>
    <definedName name="deu">'JOUEURS'!$D$37:$M$42</definedName>
    <definedName name="dirjeu">'LISTE'!$C$10</definedName>
    <definedName name="DISTANCE">'LISTE'!$C$5:$C$5</definedName>
    <definedName name="impunefeuille">'toutes'!$B$1:$L$76</definedName>
    <definedName name="init">'LISTE'!$B$13:$F$18</definedName>
    <definedName name="init1">'LISTE'!$A$13:$E$18</definedName>
    <definedName name="init6">'LISTE'!$B$13:$G$18</definedName>
    <definedName name="jou1">'JOUEURS'!$B$1:$L$22</definedName>
    <definedName name="jou2">'JOUEURS'!$B$25:$L$46</definedName>
    <definedName name="jou3">'JOUEURS'!$B$51:$L$72</definedName>
    <definedName name="jou4">'JOUEURS'!$B$75:$L$96</definedName>
    <definedName name="jou5">'JOUEURS'!$B$101:$L$122</definedName>
    <definedName name="jou6">'JOUEURS'!$B$125:$L$146</definedName>
    <definedName name="LIC1">'LISTE'!$E$13</definedName>
    <definedName name="LIC2">'LISTE'!$E$14</definedName>
    <definedName name="LIC3">'LISTE'!$E$15</definedName>
    <definedName name="LIC4">'LISTE'!$E$16</definedName>
    <definedName name="LIC5">'LISTE'!$E$17</definedName>
    <definedName name="LIC6">'LISTE'!$E$18</definedName>
    <definedName name="lieue">'LISTE'!$C$2</definedName>
    <definedName name="Matches">'MATCHES'!$A$8:$U$64</definedName>
    <definedName name="modjeu">'LISTE'!$C$6</definedName>
    <definedName name="NOM1">'LISTE'!$B$13:$B$13</definedName>
    <definedName name="NOM2">'LISTE'!$B$14:$B$14</definedName>
    <definedName name="NOM3">'LISTE'!$B$15:$B$15</definedName>
    <definedName name="NOM4">'LISTE'!$B$16:$B$16</definedName>
    <definedName name="NOM5">'LISTE'!$B$17</definedName>
    <definedName name="NOM6">'LISTE'!$B$18</definedName>
    <definedName name="ordre1">'JOUEURS'!$D$13:$M$17</definedName>
    <definedName name="ordre2">'JOUEURS'!$D$37:$M$41</definedName>
    <definedName name="ordre3">'JOUEURS'!$D$63:$M$67</definedName>
    <definedName name="ordre4">'JOUEURS'!$D$87:$M$91</definedName>
    <definedName name="ordre5">'JOUEURS'!$D$113:$M$117</definedName>
    <definedName name="ordre6">'JOUEURS'!$D$137:$M$141</definedName>
    <definedName name="poul">'LISTE'!$C$8</definedName>
    <definedName name="Poule">'FEUILLE POULE'!$B$1:$T$42</definedName>
    <definedName name="PRENOM1">'LISTE'!$C$13:$C$13</definedName>
    <definedName name="PRENOM2">'LISTE'!$C$14:$C$14</definedName>
    <definedName name="PRENOM3">'LISTE'!$C$15:$C$15</definedName>
    <definedName name="PRENOM4">'LISTE'!$C$16:$C$16</definedName>
    <definedName name="PRENOM5">'LISTE'!$C$17:$C$17</definedName>
    <definedName name="PRENOM6">'LISTE'!$C$18</definedName>
    <definedName name="qua">'JOUEURS'!$D$87:$M$92</definedName>
    <definedName name="six">'JOUEURS'!$D$137:$M$142</definedName>
    <definedName name="TRI">'MATCHES'!$AI$10:$AQ$40</definedName>
    <definedName name="trifin1">'MATCHES'!$AH$11:$AQ$40</definedName>
    <definedName name="tro">'JOUEURS'!$D$63:$M$68</definedName>
    <definedName name="un">'JOUEURS'!$D$13:$M$18</definedName>
    <definedName name="_xlnm.Print_Area" localSheetId="4">'ENGAGEMENT'!$A$1:$W$63</definedName>
    <definedName name="_xlnm.Print_Area" localSheetId="2">'FEUILLE POULE'!$B$1:$T$42</definedName>
    <definedName name="_xlnm.Print_Area" localSheetId="3">'JOUEURS'!$B$1:$L$22</definedName>
    <definedName name="_xlnm.Print_Area" localSheetId="1">'MATCHES'!$A$8:$U$64</definedName>
    <definedName name="_xlnm.Print_Area" localSheetId="5">'toutes'!$B$1:$L$76</definedName>
  </definedNames>
  <calcPr fullCalcOnLoad="1"/>
</workbook>
</file>

<file path=xl/sharedStrings.xml><?xml version="1.0" encoding="utf-8"?>
<sst xmlns="http://schemas.openxmlformats.org/spreadsheetml/2006/main" count="654" uniqueCount="213">
  <si>
    <t>Directeur de jeu:</t>
  </si>
  <si>
    <t>Numéro</t>
  </si>
  <si>
    <t>NOM</t>
  </si>
  <si>
    <t>Prénom</t>
  </si>
  <si>
    <t>Club</t>
  </si>
  <si>
    <t>N° licence</t>
  </si>
  <si>
    <t>moyenne</t>
  </si>
  <si>
    <t>points</t>
  </si>
  <si>
    <t>série</t>
  </si>
  <si>
    <t>Point-class</t>
  </si>
  <si>
    <t>REPRISES</t>
  </si>
  <si>
    <t>reprises</t>
  </si>
  <si>
    <t>moy</t>
  </si>
  <si>
    <t>moy part</t>
  </si>
  <si>
    <t>Nom</t>
  </si>
  <si>
    <t>Licence</t>
  </si>
  <si>
    <t>Mode de jeu:</t>
  </si>
  <si>
    <t>Catégorie:</t>
  </si>
  <si>
    <t>Billards:</t>
  </si>
  <si>
    <t>Distance:</t>
  </si>
  <si>
    <t>N°</t>
  </si>
  <si>
    <t>Total</t>
  </si>
  <si>
    <t xml:space="preserve">     moyenne</t>
  </si>
  <si>
    <t xml:space="preserve">    moyenne</t>
  </si>
  <si>
    <t>meilleure</t>
  </si>
  <si>
    <t>POINTS</t>
  </si>
  <si>
    <t>PLACE</t>
  </si>
  <si>
    <t xml:space="preserve">     générale</t>
  </si>
  <si>
    <t xml:space="preserve">   particulière</t>
  </si>
  <si>
    <t>CLASS</t>
  </si>
  <si>
    <t>1er</t>
  </si>
  <si>
    <t>2ème</t>
  </si>
  <si>
    <t>3ème</t>
  </si>
  <si>
    <t>4ème</t>
  </si>
  <si>
    <t>ENTRER LES NOMS DES JOUEURS et LES CARACTERISTIQUES DU CHAMPIONNAT DANS LES CASES BLEUES</t>
  </si>
  <si>
    <t>5ème</t>
  </si>
  <si>
    <t>2ème SEANCE</t>
  </si>
  <si>
    <t>5ème SEANCE</t>
  </si>
  <si>
    <t>4ème SEANCE</t>
  </si>
  <si>
    <t>3ème SEANCE</t>
  </si>
  <si>
    <t>exempts</t>
  </si>
  <si>
    <t>4 ème TOUR:                                                    match 3/4                                         billard n°A</t>
  </si>
  <si>
    <t>6ème</t>
  </si>
  <si>
    <t>1er TOUR:</t>
  </si>
  <si>
    <t>match 3/4</t>
  </si>
  <si>
    <t>billard n°B</t>
  </si>
  <si>
    <t>match 2/3</t>
  </si>
  <si>
    <t>match 1/5</t>
  </si>
  <si>
    <t>match 2/6</t>
  </si>
  <si>
    <t>match 1/4</t>
  </si>
  <si>
    <t>match 1/3</t>
  </si>
  <si>
    <t>match 4/5</t>
  </si>
  <si>
    <t>match 3/6</t>
  </si>
  <si>
    <t>match 1/2</t>
  </si>
  <si>
    <t>match 2/4</t>
  </si>
  <si>
    <t>match 5/6</t>
  </si>
  <si>
    <t>match 3/5</t>
  </si>
  <si>
    <t>match 6/4</t>
  </si>
  <si>
    <t>match 1/6</t>
  </si>
  <si>
    <t>match 2/5</t>
  </si>
  <si>
    <t>Epreuve:</t>
  </si>
  <si>
    <t>Poule:</t>
  </si>
  <si>
    <t>5 ème TOUR:</t>
  </si>
  <si>
    <t>4 ème TOUR:</t>
  </si>
  <si>
    <t>3 ème TOUR:</t>
  </si>
  <si>
    <t>2 ème TOUR:</t>
  </si>
  <si>
    <t>billard n°A</t>
  </si>
  <si>
    <t>match</t>
  </si>
  <si>
    <t>nom</t>
  </si>
  <si>
    <t>rep</t>
  </si>
  <si>
    <t>p.class</t>
  </si>
  <si>
    <t>adversaires</t>
  </si>
  <si>
    <t>J</t>
  </si>
  <si>
    <t>RESULTATS</t>
  </si>
  <si>
    <t>FEUILLE INDIVIDUELLE DE RESULTATS</t>
  </si>
  <si>
    <t>SUR</t>
  </si>
  <si>
    <t>EN</t>
  </si>
  <si>
    <t>JOUEUR N°:</t>
  </si>
  <si>
    <t>Licence N°</t>
  </si>
  <si>
    <t>M.N°</t>
  </si>
  <si>
    <t>Adversaires</t>
  </si>
  <si>
    <t>p.class.</t>
  </si>
  <si>
    <t>glissante</t>
  </si>
  <si>
    <t>totaux</t>
  </si>
  <si>
    <t>CLASSEMENT FINAL:</t>
  </si>
  <si>
    <t>génerale</t>
  </si>
  <si>
    <t>IMPRIMER LES FICHES INDIVIDUELLES DE RESULTATS</t>
  </si>
  <si>
    <t>GONG</t>
  </si>
  <si>
    <t>(même l'intermédiaire)</t>
  </si>
  <si>
    <t>TRI6:chronologique et par joueur</t>
  </si>
  <si>
    <t>Si il y a 2 joueurs d'un même club</t>
  </si>
  <si>
    <t>et les passer N° 1&amp;6 ou N° 2&amp;5 ou N° 3&amp;4</t>
  </si>
  <si>
    <t>il faut les changer de ligne (de N°)</t>
  </si>
  <si>
    <t>pour les faire jouer dans les premiers tours.</t>
  </si>
  <si>
    <t>Si il y en a 3 ou plus : ne rien changer.</t>
  </si>
  <si>
    <t>FEUILLES INDIVIDUELLES DE RESULTATS</t>
  </si>
  <si>
    <t>SEANCE N°</t>
  </si>
  <si>
    <t>Attention!! Au moins 2 séances ont le même N°</t>
  </si>
  <si>
    <r>
      <t xml:space="preserve">Vous pouvez inverser l'ordre des séances suivantes </t>
    </r>
    <r>
      <rPr>
        <b/>
        <i/>
        <sz val="22"/>
        <rFont val="Arial"/>
        <family val="2"/>
      </rPr>
      <t>(dans les cases bleutées)</t>
    </r>
  </si>
  <si>
    <r>
      <t xml:space="preserve">POULE  DE  SIX  SUR  </t>
    </r>
    <r>
      <rPr>
        <b/>
        <u val="single"/>
        <sz val="18"/>
        <color indexed="10"/>
        <rFont val="Arial"/>
        <family val="2"/>
      </rPr>
      <t>DEUX</t>
    </r>
    <r>
      <rPr>
        <b/>
        <sz val="18"/>
        <rFont val="Arial"/>
        <family val="2"/>
      </rPr>
      <t xml:space="preserve">  BILLARDS</t>
    </r>
  </si>
  <si>
    <t>NOMBRE DE DECIMALES:</t>
  </si>
  <si>
    <t>Moy. Générale du Championnat :</t>
  </si>
  <si>
    <t>FEDERATION  FRANCAISE  DE  BILLARD</t>
  </si>
  <si>
    <t>N° Licence :</t>
  </si>
  <si>
    <t>Moyenne Générale :</t>
  </si>
  <si>
    <t>Catégorie</t>
  </si>
  <si>
    <t>Date</t>
  </si>
  <si>
    <t xml:space="preserve">-  LIGUE  MIDI PYRENEES  - </t>
  </si>
  <si>
    <t>FEUILLE  D'ENGAGEMENT  A  LA  FINALE  DE</t>
  </si>
  <si>
    <t>District</t>
  </si>
  <si>
    <t>Ligue</t>
  </si>
  <si>
    <t>Secteur</t>
  </si>
  <si>
    <t>France</t>
  </si>
  <si>
    <t>Qui aura lieu:</t>
  </si>
  <si>
    <t>Club Organisateur</t>
  </si>
  <si>
    <t>Mode de jeu</t>
  </si>
  <si>
    <t>Distance</t>
  </si>
  <si>
    <t xml:space="preserve">VAINQUEUR de la FINALE de </t>
  </si>
  <si>
    <t>S/District</t>
  </si>
  <si>
    <t>NOM  -  Prénom</t>
  </si>
  <si>
    <t>Adresse</t>
  </si>
  <si>
    <t>Tél:</t>
  </si>
  <si>
    <t>Code Postal  -  Ville</t>
  </si>
  <si>
    <t>Club :</t>
  </si>
  <si>
    <t>REMPLACANT EVENTUEL</t>
  </si>
  <si>
    <t>Signatures</t>
  </si>
  <si>
    <t>Vainqueur</t>
  </si>
  <si>
    <t>Remplaçant</t>
  </si>
  <si>
    <t>Fait à :</t>
  </si>
  <si>
    <t>Le:</t>
  </si>
  <si>
    <t>Nom et signature du directeur de jeu</t>
  </si>
  <si>
    <t>J. Giron Blagnac Billard Club , 2 Rue du Moulin 31700 Blagnac</t>
  </si>
  <si>
    <t>Tél/Fax:</t>
  </si>
  <si>
    <t>05.61.71.11.81</t>
  </si>
  <si>
    <t>06.19.24.52.70</t>
  </si>
  <si>
    <t>C.E.B</t>
  </si>
  <si>
    <t>C.N.O.S.F</t>
  </si>
  <si>
    <t>U.M.B</t>
  </si>
  <si>
    <t>-   LIGUE  MIDI - PYRENEES   -</t>
  </si>
  <si>
    <t>Toulouse le 19 Mai 2002</t>
  </si>
  <si>
    <t>CHAMPIONNATS INDIVIDUELS</t>
  </si>
  <si>
    <t>Feuille de transmission des résultats techniques</t>
  </si>
  <si>
    <t>SECTEUR   SUD - OUEST</t>
  </si>
  <si>
    <t>Mode  de  jeu</t>
  </si>
  <si>
    <t>Lieu  de  l'épreuve</t>
  </si>
  <si>
    <t>Class.</t>
  </si>
  <si>
    <t>NOM - PRENOM</t>
  </si>
  <si>
    <t>N° LICENCE</t>
  </si>
  <si>
    <t>Points</t>
  </si>
  <si>
    <t>de</t>
  </si>
  <si>
    <t>Reprises</t>
  </si>
  <si>
    <t>M.G</t>
  </si>
  <si>
    <t>M.P</t>
  </si>
  <si>
    <t>Série</t>
  </si>
  <si>
    <t>class.</t>
  </si>
  <si>
    <t>Observation:</t>
  </si>
  <si>
    <t>Nom et prénom du responsable de l'épreuve :</t>
  </si>
  <si>
    <t>Signature du responsable</t>
  </si>
  <si>
    <r>
      <t xml:space="preserve">Qualité : </t>
    </r>
    <r>
      <rPr>
        <b/>
        <sz val="20"/>
        <rFont val="Arial"/>
        <family val="2"/>
      </rPr>
      <t>Secrétaire sportif de la Ligue Midi-Pyrénées</t>
    </r>
  </si>
  <si>
    <t>SECRETARIAT SPORTIF :                    LIGUE  MIDI - PYRENEES</t>
  </si>
  <si>
    <t>CLUB.……………</t>
  </si>
  <si>
    <t>CATEGORIE……</t>
  </si>
  <si>
    <t>BILLARD………..</t>
  </si>
  <si>
    <t>DISTANCE………</t>
  </si>
  <si>
    <t>MODE DE JEU…</t>
  </si>
  <si>
    <t>EPREUVE………</t>
  </si>
  <si>
    <t>POULE…………..</t>
  </si>
  <si>
    <t>DATE……………</t>
  </si>
  <si>
    <t>Directeur de jeu…</t>
  </si>
  <si>
    <t>District ou</t>
  </si>
  <si>
    <t>1/2 Ligue</t>
  </si>
  <si>
    <t>BILLARD CLUB SAINT-GAUDENS</t>
  </si>
  <si>
    <t>NOMS</t>
  </si>
  <si>
    <t>B.C.S.G</t>
  </si>
  <si>
    <t xml:space="preserve"> </t>
  </si>
  <si>
    <t>Rue de la Vieille Côte    -    31800 SAINT-GAUDENS    Tél: 05-61-94-97-67</t>
  </si>
  <si>
    <t>1ére SEANCE</t>
  </si>
  <si>
    <t>NATIONALE 2</t>
  </si>
  <si>
    <t>2m80</t>
  </si>
  <si>
    <t>BANDE</t>
  </si>
  <si>
    <t>REMY</t>
  </si>
  <si>
    <t>Robert</t>
  </si>
  <si>
    <t>St Gaudens</t>
  </si>
  <si>
    <t>022499-J</t>
  </si>
  <si>
    <t>Tarbes</t>
  </si>
  <si>
    <t>Claude</t>
  </si>
  <si>
    <t>LIGUE</t>
  </si>
  <si>
    <t>UNIQUE</t>
  </si>
  <si>
    <t>les 20 et 21/03/2010</t>
  </si>
  <si>
    <t>Robert GALABERT</t>
  </si>
  <si>
    <t>GERARD</t>
  </si>
  <si>
    <t>111086-O</t>
  </si>
  <si>
    <t>GARDAIS</t>
  </si>
  <si>
    <t xml:space="preserve">Jean  </t>
  </si>
  <si>
    <t>110833-V</t>
  </si>
  <si>
    <t>CASIMIR</t>
  </si>
  <si>
    <t>Christan</t>
  </si>
  <si>
    <t>Cahors</t>
  </si>
  <si>
    <t>022648-C</t>
  </si>
  <si>
    <t>DUFFAUD</t>
  </si>
  <si>
    <t>Jean-Philippe</t>
  </si>
  <si>
    <t>Arize</t>
  </si>
  <si>
    <t>022847-W</t>
  </si>
  <si>
    <t>LIS</t>
  </si>
  <si>
    <t>Daniel</t>
  </si>
  <si>
    <t>022590-W</t>
  </si>
  <si>
    <t>St-Gaudens</t>
  </si>
  <si>
    <t>X</t>
  </si>
  <si>
    <t>St gaudens</t>
  </si>
  <si>
    <t>ST GAUDENS</t>
  </si>
  <si>
    <t>GERARD Claude ne se déplacera pas à la finale de France</t>
  </si>
  <si>
    <t>la finale de France. Donc LIS daniel sera le représentant de notre</t>
  </si>
  <si>
    <t>Ligue et REMY Robert devient son remplançant éventuel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</si>
</sst>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.000"/>
    <numFmt numFmtId="174" formatCode="\(General\);\(\-General\)"/>
    <numFmt numFmtId="175" formatCode="\(0.000\);\(\-0.000\)"/>
    <numFmt numFmtId="176" formatCode="0.0000"/>
    <numFmt numFmtId="177" formatCode="0.0"/>
    <numFmt numFmtId="178" formatCode="\(0.00\);\(\-0.00\)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d\ mmmm\ yyyy"/>
  </numFmts>
  <fonts count="9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u val="single"/>
      <sz val="14"/>
      <name val="Arial"/>
      <family val="0"/>
    </font>
    <font>
      <u val="single"/>
      <sz val="12"/>
      <name val="Arial"/>
      <family val="0"/>
    </font>
    <font>
      <b/>
      <sz val="14"/>
      <color indexed="10"/>
      <name val="Arial"/>
      <family val="0"/>
    </font>
    <font>
      <b/>
      <sz val="18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20"/>
      <color indexed="10"/>
      <name val="Arial"/>
      <family val="2"/>
    </font>
    <font>
      <b/>
      <sz val="22"/>
      <color indexed="12"/>
      <name val="Arial"/>
      <family val="2"/>
    </font>
    <font>
      <b/>
      <i/>
      <sz val="22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u val="single"/>
      <sz val="16"/>
      <name val="Arial"/>
      <family val="2"/>
    </font>
    <font>
      <u val="single"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28"/>
      <name val="Arial"/>
      <family val="2"/>
    </font>
    <font>
      <b/>
      <sz val="10"/>
      <color indexed="13"/>
      <name val="Arial"/>
      <family val="2"/>
    </font>
    <font>
      <sz val="12"/>
      <color indexed="13"/>
      <name val="Arial"/>
      <family val="2"/>
    </font>
    <font>
      <sz val="12"/>
      <color indexed="22"/>
      <name val="Arial"/>
      <family val="2"/>
    </font>
    <font>
      <b/>
      <sz val="3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14"/>
      <color indexed="17"/>
      <name val="Arial"/>
      <family val="2"/>
    </font>
    <font>
      <sz val="14"/>
      <color indexed="12"/>
      <name val="Arial"/>
      <family val="2"/>
    </font>
    <font>
      <b/>
      <sz val="36"/>
      <color indexed="12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12"/>
      <color indexed="12"/>
      <name val="Arial"/>
      <family val="2"/>
    </font>
    <font>
      <b/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darkVertical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ashed"/>
      <right style="dashed"/>
      <top style="thin"/>
      <bottom style="dashed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0" borderId="2" applyNumberFormat="0" applyFill="0" applyAlignment="0" applyProtection="0"/>
    <xf numFmtId="0" fontId="0" fillId="27" borderId="3" applyNumberFormat="0" applyFont="0" applyAlignment="0" applyProtection="0"/>
    <xf numFmtId="0" fontId="85" fillId="28" borderId="1" applyNumberFormat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6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/>
    </xf>
    <xf numFmtId="0" fontId="0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/>
    </xf>
    <xf numFmtId="0" fontId="0" fillId="36" borderId="16" xfId="0" applyNumberFormat="1" applyFont="1" applyFill="1" applyBorder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16" xfId="0" applyNumberFormat="1" applyFont="1" applyFill="1" applyBorder="1" applyAlignment="1">
      <alignment/>
    </xf>
    <xf numFmtId="173" fontId="0" fillId="37" borderId="16" xfId="0" applyNumberFormat="1" applyFont="1" applyFill="1" applyBorder="1" applyAlignment="1">
      <alignment/>
    </xf>
    <xf numFmtId="0" fontId="0" fillId="37" borderId="17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37" borderId="16" xfId="0" applyNumberFormat="1" applyFill="1" applyBorder="1" applyAlignment="1">
      <alignment vertical="center"/>
    </xf>
    <xf numFmtId="0" fontId="0" fillId="36" borderId="16" xfId="0" applyNumberFormat="1" applyFill="1" applyBorder="1" applyAlignment="1">
      <alignment vertical="center"/>
    </xf>
    <xf numFmtId="0" fontId="0" fillId="35" borderId="16" xfId="0" applyNumberFormat="1" applyFill="1" applyBorder="1" applyAlignment="1">
      <alignment vertical="center"/>
    </xf>
    <xf numFmtId="0" fontId="0" fillId="34" borderId="16" xfId="0" applyNumberFormat="1" applyFill="1" applyBorder="1" applyAlignment="1">
      <alignment vertical="center"/>
    </xf>
    <xf numFmtId="0" fontId="0" fillId="33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8" fillId="0" borderId="18" xfId="0" applyNumberFormat="1" applyFont="1" applyBorder="1" applyAlignment="1" applyProtection="1">
      <alignment horizontal="center" vertical="center"/>
      <protection locked="0"/>
    </xf>
    <xf numFmtId="0" fontId="0" fillId="37" borderId="16" xfId="0" applyNumberFormat="1" applyFill="1" applyBorder="1" applyAlignment="1">
      <alignment horizontal="center" vertical="center"/>
    </xf>
    <xf numFmtId="0" fontId="0" fillId="37" borderId="16" xfId="0" applyNumberFormat="1" applyFont="1" applyFill="1" applyBorder="1" applyAlignment="1">
      <alignment vertical="center"/>
    </xf>
    <xf numFmtId="0" fontId="0" fillId="36" borderId="16" xfId="0" applyNumberFormat="1" applyFill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173" fontId="0" fillId="36" borderId="16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173" fontId="0" fillId="35" borderId="16" xfId="0" applyNumberFormat="1" applyFont="1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173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174" fontId="0" fillId="35" borderId="0" xfId="0" applyNumberForma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174" fontId="0" fillId="35" borderId="0" xfId="0" applyNumberForma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35" borderId="19" xfId="0" applyFill="1" applyBorder="1" applyAlignment="1">
      <alignment horizontal="center"/>
    </xf>
    <xf numFmtId="2" fontId="0" fillId="35" borderId="19" xfId="0" applyNumberFormat="1" applyFill="1" applyBorder="1" applyAlignment="1">
      <alignment/>
    </xf>
    <xf numFmtId="174" fontId="0" fillId="35" borderId="19" xfId="0" applyNumberForma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2" fontId="0" fillId="35" borderId="20" xfId="0" applyNumberFormat="1" applyFill="1" applyBorder="1" applyAlignment="1">
      <alignment/>
    </xf>
    <xf numFmtId="174" fontId="0" fillId="35" borderId="20" xfId="0" applyNumberForma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2" fontId="0" fillId="35" borderId="21" xfId="0" applyNumberFormat="1" applyFill="1" applyBorder="1" applyAlignment="1">
      <alignment/>
    </xf>
    <xf numFmtId="174" fontId="0" fillId="35" borderId="2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35" borderId="22" xfId="0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8" xfId="0" applyBorder="1" applyAlignment="1">
      <alignment/>
    </xf>
    <xf numFmtId="0" fontId="0" fillId="33" borderId="0" xfId="0" applyFill="1" applyAlignment="1">
      <alignment/>
    </xf>
    <xf numFmtId="0" fontId="0" fillId="33" borderId="29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left"/>
    </xf>
    <xf numFmtId="0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 horizontal="center"/>
    </xf>
    <xf numFmtId="0" fontId="0" fillId="33" borderId="32" xfId="0" applyNumberFormat="1" applyFont="1" applyFill="1" applyBorder="1" applyAlignment="1">
      <alignment horizontal="left"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left" vertical="center"/>
    </xf>
    <xf numFmtId="0" fontId="0" fillId="33" borderId="34" xfId="0" applyNumberFormat="1" applyFill="1" applyBorder="1" applyAlignment="1">
      <alignment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1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1" fillId="33" borderId="36" xfId="0" applyNumberFormat="1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5" fillId="33" borderId="43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5" borderId="66" xfId="0" applyFill="1" applyBorder="1" applyAlignment="1">
      <alignment/>
    </xf>
    <xf numFmtId="0" fontId="21" fillId="35" borderId="0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17" fillId="35" borderId="67" xfId="0" applyNumberFormat="1" applyFont="1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68" xfId="0" applyNumberFormat="1" applyFont="1" applyFill="1" applyBorder="1" applyAlignment="1">
      <alignment/>
    </xf>
    <xf numFmtId="0" fontId="0" fillId="35" borderId="69" xfId="0" applyFill="1" applyBorder="1" applyAlignment="1">
      <alignment/>
    </xf>
    <xf numFmtId="0" fontId="10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173" fontId="0" fillId="33" borderId="38" xfId="0" applyNumberFormat="1" applyFill="1" applyBorder="1" applyAlignment="1">
      <alignment horizontal="center"/>
    </xf>
    <xf numFmtId="173" fontId="0" fillId="33" borderId="41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0" fillId="33" borderId="45" xfId="0" applyNumberFormat="1" applyFill="1" applyBorder="1" applyAlignment="1">
      <alignment horizontal="center"/>
    </xf>
    <xf numFmtId="0" fontId="0" fillId="38" borderId="70" xfId="0" applyNumberFormat="1" applyFont="1" applyFill="1" applyBorder="1" applyAlignment="1">
      <alignment/>
    </xf>
    <xf numFmtId="0" fontId="0" fillId="38" borderId="71" xfId="0" applyNumberFormat="1" applyFont="1" applyFill="1" applyBorder="1" applyAlignment="1">
      <alignment/>
    </xf>
    <xf numFmtId="0" fontId="0" fillId="38" borderId="71" xfId="0" applyFill="1" applyBorder="1" applyAlignment="1">
      <alignment/>
    </xf>
    <xf numFmtId="0" fontId="0" fillId="38" borderId="72" xfId="0" applyFill="1" applyBorder="1" applyAlignment="1">
      <alignment/>
    </xf>
    <xf numFmtId="0" fontId="0" fillId="38" borderId="67" xfId="0" applyNumberFormat="1" applyFont="1" applyFill="1" applyBorder="1" applyAlignment="1">
      <alignment/>
    </xf>
    <xf numFmtId="0" fontId="0" fillId="38" borderId="68" xfId="0" applyNumberFormat="1" applyFont="1" applyFill="1" applyBorder="1" applyAlignment="1">
      <alignment/>
    </xf>
    <xf numFmtId="0" fontId="0" fillId="38" borderId="68" xfId="0" applyFill="1" applyBorder="1" applyAlignment="1">
      <alignment/>
    </xf>
    <xf numFmtId="0" fontId="0" fillId="38" borderId="69" xfId="0" applyFill="1" applyBorder="1" applyAlignment="1">
      <alignment/>
    </xf>
    <xf numFmtId="0" fontId="17" fillId="35" borderId="66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0" fillId="39" borderId="70" xfId="0" applyNumberFormat="1" applyFont="1" applyFill="1" applyBorder="1" applyAlignment="1">
      <alignment/>
    </xf>
    <xf numFmtId="0" fontId="0" fillId="39" borderId="71" xfId="0" applyNumberFormat="1" applyFont="1" applyFill="1" applyBorder="1" applyAlignment="1">
      <alignment/>
    </xf>
    <xf numFmtId="0" fontId="0" fillId="39" borderId="71" xfId="0" applyFill="1" applyBorder="1" applyAlignment="1">
      <alignment/>
    </xf>
    <xf numFmtId="0" fontId="0" fillId="39" borderId="72" xfId="0" applyFill="1" applyBorder="1" applyAlignment="1">
      <alignment/>
    </xf>
    <xf numFmtId="0" fontId="0" fillId="39" borderId="67" xfId="0" applyNumberFormat="1" applyFont="1" applyFill="1" applyBorder="1" applyAlignment="1">
      <alignment/>
    </xf>
    <xf numFmtId="0" fontId="0" fillId="39" borderId="68" xfId="0" applyNumberFormat="1" applyFont="1" applyFill="1" applyBorder="1" applyAlignment="1">
      <alignment/>
    </xf>
    <xf numFmtId="0" fontId="17" fillId="39" borderId="68" xfId="0" applyNumberFormat="1" applyFont="1" applyFill="1" applyBorder="1" applyAlignment="1">
      <alignment/>
    </xf>
    <xf numFmtId="0" fontId="0" fillId="39" borderId="68" xfId="0" applyFill="1" applyBorder="1" applyAlignment="1">
      <alignment/>
    </xf>
    <xf numFmtId="0" fontId="0" fillId="39" borderId="69" xfId="0" applyFill="1" applyBorder="1" applyAlignment="1">
      <alignment/>
    </xf>
    <xf numFmtId="0" fontId="5" fillId="0" borderId="73" xfId="0" applyNumberFormat="1" applyFont="1" applyBorder="1" applyAlignment="1">
      <alignment/>
    </xf>
    <xf numFmtId="172" fontId="9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6" fillId="40" borderId="76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vertical="center"/>
    </xf>
    <xf numFmtId="0" fontId="9" fillId="0" borderId="7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77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vertical="center"/>
    </xf>
    <xf numFmtId="0" fontId="9" fillId="0" borderId="80" xfId="0" applyNumberFormat="1" applyFont="1" applyBorder="1" applyAlignment="1">
      <alignment horizontal="center" vertical="center"/>
    </xf>
    <xf numFmtId="0" fontId="25" fillId="0" borderId="81" xfId="0" applyNumberFormat="1" applyFont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10" fillId="0" borderId="14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0" fontId="10" fillId="0" borderId="14" xfId="0" applyNumberFormat="1" applyFont="1" applyBorder="1" applyAlignment="1">
      <alignment horizontal="right" vertical="center"/>
    </xf>
    <xf numFmtId="0" fontId="28" fillId="33" borderId="82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/>
    </xf>
    <xf numFmtId="0" fontId="30" fillId="0" borderId="0" xfId="0" applyNumberFormat="1" applyFont="1" applyBorder="1" applyAlignment="1">
      <alignment horizontal="left"/>
    </xf>
    <xf numFmtId="0" fontId="0" fillId="0" borderId="83" xfId="0" applyNumberFormat="1" applyFont="1" applyBorder="1" applyAlignment="1">
      <alignment/>
    </xf>
    <xf numFmtId="0" fontId="0" fillId="0" borderId="83" xfId="0" applyNumberFormat="1" applyFont="1" applyBorder="1" applyAlignment="1">
      <alignment horizontal="center"/>
    </xf>
    <xf numFmtId="173" fontId="0" fillId="0" borderId="83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83" xfId="0" applyBorder="1" applyAlignment="1">
      <alignment horizontal="center"/>
    </xf>
    <xf numFmtId="0" fontId="30" fillId="0" borderId="83" xfId="0" applyNumberFormat="1" applyFont="1" applyBorder="1" applyAlignment="1">
      <alignment horizontal="center" vertical="center"/>
    </xf>
    <xf numFmtId="0" fontId="21" fillId="0" borderId="0" xfId="0" applyNumberFormat="1" applyFont="1" applyAlignment="1" applyProtection="1">
      <alignment horizontal="left" indent="1"/>
      <protection/>
    </xf>
    <xf numFmtId="0" fontId="0" fillId="0" borderId="84" xfId="0" applyNumberFormat="1" applyBorder="1" applyAlignment="1" applyProtection="1">
      <alignment/>
      <protection/>
    </xf>
    <xf numFmtId="0" fontId="0" fillId="0" borderId="85" xfId="0" applyNumberFormat="1" applyFont="1" applyBorder="1" applyAlignment="1" applyProtection="1">
      <alignment/>
      <protection/>
    </xf>
    <xf numFmtId="173" fontId="5" fillId="0" borderId="86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5" xfId="0" applyFont="1" applyBorder="1" applyAlignment="1">
      <alignment/>
    </xf>
    <xf numFmtId="0" fontId="0" fillId="0" borderId="84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0" fontId="39" fillId="0" borderId="91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93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88" xfId="0" applyFont="1" applyBorder="1" applyAlignment="1">
      <alignment/>
    </xf>
    <xf numFmtId="0" fontId="0" fillId="0" borderId="21" xfId="0" applyBorder="1" applyAlignment="1">
      <alignment/>
    </xf>
    <xf numFmtId="0" fontId="39" fillId="0" borderId="89" xfId="0" applyFont="1" applyBorder="1" applyAlignment="1">
      <alignment/>
    </xf>
    <xf numFmtId="0" fontId="44" fillId="0" borderId="0" xfId="0" applyFont="1" applyAlignment="1">
      <alignment/>
    </xf>
    <xf numFmtId="0" fontId="39" fillId="0" borderId="50" xfId="0" applyFont="1" applyBorder="1" applyAlignment="1">
      <alignment vertical="center"/>
    </xf>
    <xf numFmtId="0" fontId="42" fillId="0" borderId="84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4" xfId="0" applyBorder="1" applyAlignment="1">
      <alignment/>
    </xf>
    <xf numFmtId="0" fontId="39" fillId="0" borderId="84" xfId="0" applyFont="1" applyBorder="1" applyAlignment="1">
      <alignment vertical="center"/>
    </xf>
    <xf numFmtId="0" fontId="10" fillId="0" borderId="85" xfId="0" applyFont="1" applyBorder="1" applyAlignment="1">
      <alignment horizontal="center" vertical="center"/>
    </xf>
    <xf numFmtId="0" fontId="43" fillId="0" borderId="87" xfId="0" applyFont="1" applyBorder="1" applyAlignment="1">
      <alignment/>
    </xf>
    <xf numFmtId="0" fontId="19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left" vertical="center"/>
    </xf>
    <xf numFmtId="0" fontId="21" fillId="0" borderId="92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0" fillId="0" borderId="96" xfId="0" applyBorder="1" applyAlignment="1">
      <alignment/>
    </xf>
    <xf numFmtId="0" fontId="0" fillId="0" borderId="0" xfId="0" applyFont="1" applyBorder="1" applyAlignment="1">
      <alignment/>
    </xf>
    <xf numFmtId="0" fontId="0" fillId="0" borderId="93" xfId="0" applyBorder="1" applyAlignment="1">
      <alignment/>
    </xf>
    <xf numFmtId="0" fontId="22" fillId="0" borderId="97" xfId="0" applyFont="1" applyBorder="1" applyAlignment="1">
      <alignment horizontal="left" vertical="center" indent="1"/>
    </xf>
    <xf numFmtId="0" fontId="22" fillId="0" borderId="98" xfId="0" applyFont="1" applyBorder="1" applyAlignment="1">
      <alignment vertical="center"/>
    </xf>
    <xf numFmtId="0" fontId="18" fillId="0" borderId="98" xfId="0" applyFont="1" applyBorder="1" applyAlignment="1">
      <alignment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0" fillId="41" borderId="0" xfId="0" applyNumberFormat="1" applyFill="1" applyAlignment="1">
      <alignment horizontal="left"/>
    </xf>
    <xf numFmtId="0" fontId="0" fillId="33" borderId="84" xfId="0" applyNumberFormat="1" applyFont="1" applyFill="1" applyBorder="1" applyAlignment="1" applyProtection="1">
      <alignment horizontal="left"/>
      <protection locked="0"/>
    </xf>
    <xf numFmtId="0" fontId="0" fillId="33" borderId="86" xfId="0" applyNumberFormat="1" applyFont="1" applyFill="1" applyBorder="1" applyAlignment="1">
      <alignment/>
    </xf>
    <xf numFmtId="0" fontId="0" fillId="33" borderId="85" xfId="0" applyNumberFormat="1" applyFont="1" applyFill="1" applyBorder="1" applyAlignment="1">
      <alignment/>
    </xf>
    <xf numFmtId="3" fontId="0" fillId="33" borderId="84" xfId="0" applyNumberFormat="1" applyFont="1" applyFill="1" applyBorder="1" applyAlignment="1" applyProtection="1">
      <alignment horizontal="left"/>
      <protection locked="0"/>
    </xf>
    <xf numFmtId="172" fontId="0" fillId="33" borderId="84" xfId="0" applyNumberFormat="1" applyFont="1" applyFill="1" applyBorder="1" applyAlignment="1" applyProtection="1">
      <alignment horizontal="left"/>
      <protection locked="0"/>
    </xf>
    <xf numFmtId="0" fontId="46" fillId="42" borderId="0" xfId="0" applyNumberFormat="1" applyFont="1" applyFill="1" applyAlignment="1">
      <alignment vertical="center"/>
    </xf>
    <xf numFmtId="0" fontId="47" fillId="42" borderId="0" xfId="0" applyNumberFormat="1" applyFont="1" applyFill="1" applyAlignment="1">
      <alignment/>
    </xf>
    <xf numFmtId="0" fontId="0" fillId="41" borderId="0" xfId="0" applyNumberFormat="1" applyFont="1" applyFill="1" applyAlignment="1">
      <alignment/>
    </xf>
    <xf numFmtId="0" fontId="47" fillId="42" borderId="0" xfId="0" applyFont="1" applyFill="1" applyAlignment="1">
      <alignment/>
    </xf>
    <xf numFmtId="0" fontId="0" fillId="41" borderId="0" xfId="0" applyFill="1" applyAlignment="1">
      <alignment/>
    </xf>
    <xf numFmtId="0" fontId="24" fillId="41" borderId="0" xfId="0" applyNumberFormat="1" applyFont="1" applyFill="1" applyAlignment="1">
      <alignment horizontal="center"/>
    </xf>
    <xf numFmtId="0" fontId="5" fillId="40" borderId="100" xfId="0" applyNumberFormat="1" applyFont="1" applyFill="1" applyBorder="1" applyAlignment="1">
      <alignment/>
    </xf>
    <xf numFmtId="0" fontId="5" fillId="40" borderId="101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/>
    </xf>
    <xf numFmtId="0" fontId="0" fillId="33" borderId="41" xfId="0" applyNumberFormat="1" applyFont="1" applyFill="1" applyBorder="1" applyAlignment="1" applyProtection="1">
      <alignment horizontal="left" vertical="center"/>
      <protection locked="0"/>
    </xf>
    <xf numFmtId="0" fontId="48" fillId="41" borderId="0" xfId="0" applyNumberFormat="1" applyFont="1" applyFill="1" applyBorder="1" applyAlignment="1">
      <alignment/>
    </xf>
    <xf numFmtId="0" fontId="0" fillId="33" borderId="48" xfId="0" applyNumberFormat="1" applyFont="1" applyFill="1" applyBorder="1" applyAlignment="1" applyProtection="1">
      <alignment horizontal="left" vertical="center"/>
      <protection locked="0"/>
    </xf>
    <xf numFmtId="0" fontId="0" fillId="33" borderId="102" xfId="0" applyNumberFormat="1" applyFont="1" applyFill="1" applyBorder="1" applyAlignment="1" applyProtection="1">
      <alignment horizontal="left" vertical="center"/>
      <protection locked="0"/>
    </xf>
    <xf numFmtId="0" fontId="0" fillId="41" borderId="0" xfId="0" applyFill="1" applyBorder="1" applyAlignment="1">
      <alignment/>
    </xf>
    <xf numFmtId="0" fontId="0" fillId="33" borderId="50" xfId="0" applyNumberFormat="1" applyFill="1" applyBorder="1" applyAlignment="1" applyProtection="1">
      <alignment vertical="center"/>
      <protection locked="0"/>
    </xf>
    <xf numFmtId="0" fontId="0" fillId="33" borderId="4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67" xfId="0" applyNumberFormat="1" applyFont="1" applyBorder="1" applyAlignment="1">
      <alignment horizontal="center" vertical="center"/>
    </xf>
    <xf numFmtId="0" fontId="0" fillId="33" borderId="62" xfId="0" applyNumberFormat="1" applyFill="1" applyBorder="1" applyAlignment="1" applyProtection="1">
      <alignment vertical="center"/>
      <protection locked="0"/>
    </xf>
    <xf numFmtId="0" fontId="0" fillId="33" borderId="102" xfId="0" applyNumberFormat="1" applyFont="1" applyFill="1" applyBorder="1" applyAlignment="1" applyProtection="1">
      <alignment vertical="center"/>
      <protection locked="0"/>
    </xf>
    <xf numFmtId="0" fontId="18" fillId="0" borderId="103" xfId="0" applyNumberFormat="1" applyFont="1" applyBorder="1" applyAlignment="1" applyProtection="1">
      <alignment horizontal="center" vertical="center"/>
      <protection locked="0"/>
    </xf>
    <xf numFmtId="0" fontId="18" fillId="0" borderId="104" xfId="0" applyNumberFormat="1" applyFont="1" applyBorder="1" applyAlignment="1" applyProtection="1">
      <alignment horizontal="center" vertical="center"/>
      <protection locked="0"/>
    </xf>
    <xf numFmtId="174" fontId="18" fillId="0" borderId="10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92" xfId="0" applyBorder="1" applyAlignment="1">
      <alignment/>
    </xf>
    <xf numFmtId="0" fontId="0" fillId="0" borderId="71" xfId="0" applyNumberFormat="1" applyFont="1" applyBorder="1" applyAlignment="1" applyProtection="1">
      <alignment/>
      <protection/>
    </xf>
    <xf numFmtId="0" fontId="50" fillId="43" borderId="7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Border="1" applyAlignment="1" applyProtection="1">
      <alignment/>
      <protection/>
    </xf>
    <xf numFmtId="0" fontId="0" fillId="0" borderId="106" xfId="0" applyNumberFormat="1" applyFont="1" applyBorder="1" applyAlignment="1" applyProtection="1">
      <alignment horizontal="left" vertical="center"/>
      <protection/>
    </xf>
    <xf numFmtId="0" fontId="0" fillId="0" borderId="107" xfId="0" applyNumberFormat="1" applyFont="1" applyBorder="1" applyAlignment="1" applyProtection="1">
      <alignment vertical="center"/>
      <protection/>
    </xf>
    <xf numFmtId="0" fontId="0" fillId="0" borderId="108" xfId="0" applyNumberFormat="1" applyFont="1" applyBorder="1" applyAlignment="1" applyProtection="1">
      <alignment vertical="center"/>
      <protection/>
    </xf>
    <xf numFmtId="0" fontId="4" fillId="0" borderId="107" xfId="0" applyNumberFormat="1" applyFont="1" applyBorder="1" applyAlignment="1" applyProtection="1">
      <alignment horizontal="center" vertical="center"/>
      <protection/>
    </xf>
    <xf numFmtId="0" fontId="4" fillId="0" borderId="107" xfId="0" applyNumberFormat="1" applyFont="1" applyBorder="1" applyAlignment="1" applyProtection="1">
      <alignment horizontal="left" vertical="center"/>
      <protection/>
    </xf>
    <xf numFmtId="0" fontId="0" fillId="0" borderId="109" xfId="0" applyNumberFormat="1" applyFont="1" applyBorder="1" applyAlignment="1" applyProtection="1">
      <alignment/>
      <protection/>
    </xf>
    <xf numFmtId="0" fontId="0" fillId="0" borderId="110" xfId="0" applyNumberFormat="1" applyFont="1" applyBorder="1" applyAlignment="1" applyProtection="1">
      <alignment/>
      <protection/>
    </xf>
    <xf numFmtId="0" fontId="4" fillId="0" borderId="110" xfId="0" applyNumberFormat="1" applyFont="1" applyBorder="1" applyAlignment="1" applyProtection="1">
      <alignment horizontal="center"/>
      <protection/>
    </xf>
    <xf numFmtId="0" fontId="4" fillId="0" borderId="71" xfId="0" applyNumberFormat="1" applyFont="1" applyBorder="1" applyAlignment="1" applyProtection="1">
      <alignment/>
      <protection/>
    </xf>
    <xf numFmtId="0" fontId="5" fillId="0" borderId="111" xfId="0" applyNumberFormat="1" applyFont="1" applyBorder="1" applyAlignment="1">
      <alignment horizontal="left" vertical="center"/>
    </xf>
    <xf numFmtId="0" fontId="0" fillId="0" borderId="112" xfId="0" applyNumberFormat="1" applyFont="1" applyBorder="1" applyAlignment="1">
      <alignment vertical="center"/>
    </xf>
    <xf numFmtId="0" fontId="0" fillId="0" borderId="113" xfId="0" applyNumberFormat="1" applyFont="1" applyBorder="1" applyAlignment="1">
      <alignment vertical="center"/>
    </xf>
    <xf numFmtId="0" fontId="4" fillId="0" borderId="112" xfId="0" applyNumberFormat="1" applyFont="1" applyBorder="1" applyAlignment="1">
      <alignment horizontal="center" vertical="center"/>
    </xf>
    <xf numFmtId="0" fontId="4" fillId="0" borderId="113" xfId="0" applyNumberFormat="1" applyFont="1" applyBorder="1" applyAlignment="1">
      <alignment vertical="center"/>
    </xf>
    <xf numFmtId="0" fontId="9" fillId="0" borderId="112" xfId="0" applyNumberFormat="1" applyFont="1" applyBorder="1" applyAlignment="1">
      <alignment horizontal="center" vertical="center"/>
    </xf>
    <xf numFmtId="0" fontId="5" fillId="0" borderId="114" xfId="0" applyNumberFormat="1" applyFont="1" applyBorder="1" applyAlignment="1">
      <alignment horizontal="left" vertical="center"/>
    </xf>
    <xf numFmtId="0" fontId="0" fillId="0" borderId="115" xfId="0" applyNumberFormat="1" applyFont="1" applyBorder="1" applyAlignment="1">
      <alignment vertical="center"/>
    </xf>
    <xf numFmtId="0" fontId="0" fillId="0" borderId="85" xfId="0" applyNumberFormat="1" applyFont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vertical="center"/>
    </xf>
    <xf numFmtId="0" fontId="9" fillId="0" borderId="115" xfId="0" applyNumberFormat="1" applyFont="1" applyBorder="1" applyAlignment="1">
      <alignment horizontal="center" vertical="center"/>
    </xf>
    <xf numFmtId="0" fontId="5" fillId="0" borderId="116" xfId="0" applyNumberFormat="1" applyFont="1" applyBorder="1" applyAlignment="1">
      <alignment horizontal="left" vertical="center"/>
    </xf>
    <xf numFmtId="0" fontId="0" fillId="0" borderId="11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0" fontId="4" fillId="0" borderId="11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vertical="center"/>
    </xf>
    <xf numFmtId="0" fontId="9" fillId="0" borderId="117" xfId="0" applyNumberFormat="1" applyFont="1" applyBorder="1" applyAlignment="1">
      <alignment horizontal="center" vertical="center"/>
    </xf>
    <xf numFmtId="0" fontId="52" fillId="0" borderId="66" xfId="0" applyNumberFormat="1" applyFont="1" applyBorder="1" applyAlignment="1" applyProtection="1">
      <alignment horizontal="center"/>
      <protection/>
    </xf>
    <xf numFmtId="0" fontId="53" fillId="0" borderId="116" xfId="0" applyNumberFormat="1" applyFont="1" applyBorder="1" applyAlignment="1" applyProtection="1">
      <alignment horizontal="center" vertical="center"/>
      <protection/>
    </xf>
    <xf numFmtId="0" fontId="53" fillId="0" borderId="66" xfId="0" applyNumberFormat="1" applyFont="1" applyBorder="1" applyAlignment="1" applyProtection="1">
      <alignment horizontal="center" vertical="center"/>
      <protection/>
    </xf>
    <xf numFmtId="0" fontId="14" fillId="0" borderId="112" xfId="0" applyNumberFormat="1" applyFont="1" applyBorder="1" applyAlignment="1">
      <alignment horizontal="center" vertical="center"/>
    </xf>
    <xf numFmtId="0" fontId="14" fillId="0" borderId="115" xfId="0" applyNumberFormat="1" applyFont="1" applyBorder="1" applyAlignment="1">
      <alignment horizontal="center" vertical="center"/>
    </xf>
    <xf numFmtId="0" fontId="14" fillId="0" borderId="117" xfId="0" applyNumberFormat="1" applyFont="1" applyBorder="1" applyAlignment="1">
      <alignment horizontal="center" vertical="center"/>
    </xf>
    <xf numFmtId="0" fontId="50" fillId="0" borderId="112" xfId="0" applyNumberFormat="1" applyFont="1" applyBorder="1" applyAlignment="1">
      <alignment horizontal="center" vertical="center"/>
    </xf>
    <xf numFmtId="0" fontId="50" fillId="0" borderId="115" xfId="0" applyNumberFormat="1" applyFont="1" applyBorder="1" applyAlignment="1">
      <alignment horizontal="center" vertical="center"/>
    </xf>
    <xf numFmtId="0" fontId="50" fillId="0" borderId="117" xfId="0" applyNumberFormat="1" applyFont="1" applyBorder="1" applyAlignment="1">
      <alignment horizontal="center" vertical="center"/>
    </xf>
    <xf numFmtId="2" fontId="0" fillId="33" borderId="118" xfId="0" applyNumberFormat="1" applyFont="1" applyFill="1" applyBorder="1" applyAlignment="1" applyProtection="1">
      <alignment horizontal="center" vertical="center"/>
      <protection locked="0"/>
    </xf>
    <xf numFmtId="2" fontId="0" fillId="33" borderId="119" xfId="0" applyNumberFormat="1" applyFont="1" applyFill="1" applyBorder="1" applyAlignment="1" applyProtection="1">
      <alignment horizontal="center" vertical="center"/>
      <protection locked="0"/>
    </xf>
    <xf numFmtId="2" fontId="0" fillId="33" borderId="120" xfId="0" applyNumberFormat="1" applyFont="1" applyFill="1" applyBorder="1" applyAlignment="1" applyProtection="1">
      <alignment horizontal="center" vertical="center"/>
      <protection locked="0"/>
    </xf>
    <xf numFmtId="2" fontId="18" fillId="0" borderId="104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117" xfId="0" applyNumberFormat="1" applyFon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121" xfId="0" applyNumberFormat="1" applyBorder="1" applyAlignment="1">
      <alignment horizontal="center" vertical="center"/>
    </xf>
    <xf numFmtId="2" fontId="0" fillId="0" borderId="122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92" xfId="0" applyFont="1" applyBorder="1" applyAlignment="1">
      <alignment/>
    </xf>
    <xf numFmtId="0" fontId="10" fillId="44" borderId="0" xfId="0" applyNumberFormat="1" applyFont="1" applyFill="1" applyBorder="1" applyAlignment="1">
      <alignment horizontal="center" vertical="center"/>
    </xf>
    <xf numFmtId="0" fontId="5" fillId="33" borderId="84" xfId="0" applyNumberFormat="1" applyFont="1" applyFill="1" applyBorder="1" applyAlignment="1" applyProtection="1">
      <alignment horizontal="center" vertical="center"/>
      <protection locked="0"/>
    </xf>
    <xf numFmtId="0" fontId="5" fillId="33" borderId="85" xfId="0" applyNumberFormat="1" applyFont="1" applyFill="1" applyBorder="1" applyAlignment="1" applyProtection="1">
      <alignment horizontal="center" vertical="center"/>
      <protection locked="0"/>
    </xf>
    <xf numFmtId="0" fontId="5" fillId="33" borderId="86" xfId="0" applyNumberFormat="1" applyFont="1" applyFill="1" applyBorder="1" applyAlignment="1" applyProtection="1">
      <alignment horizontal="center" vertical="center"/>
      <protection locked="0"/>
    </xf>
    <xf numFmtId="0" fontId="5" fillId="36" borderId="67" xfId="0" applyNumberFormat="1" applyFont="1" applyFill="1" applyBorder="1" applyAlignment="1">
      <alignment horizontal="left"/>
    </xf>
    <xf numFmtId="0" fontId="5" fillId="36" borderId="68" xfId="0" applyNumberFormat="1" applyFont="1" applyFill="1" applyBorder="1" applyAlignment="1">
      <alignment horizontal="left"/>
    </xf>
    <xf numFmtId="0" fontId="5" fillId="36" borderId="69" xfId="0" applyNumberFormat="1" applyFont="1" applyFill="1" applyBorder="1" applyAlignment="1">
      <alignment horizontal="left"/>
    </xf>
    <xf numFmtId="0" fontId="23" fillId="36" borderId="70" xfId="0" applyNumberFormat="1" applyFont="1" applyFill="1" applyBorder="1" applyAlignment="1">
      <alignment horizontal="left"/>
    </xf>
    <xf numFmtId="0" fontId="23" fillId="36" borderId="71" xfId="0" applyNumberFormat="1" applyFont="1" applyFill="1" applyBorder="1" applyAlignment="1">
      <alignment horizontal="left"/>
    </xf>
    <xf numFmtId="0" fontId="23" fillId="36" borderId="72" xfId="0" applyNumberFormat="1" applyFont="1" applyFill="1" applyBorder="1" applyAlignment="1">
      <alignment horizontal="left"/>
    </xf>
    <xf numFmtId="0" fontId="23" fillId="36" borderId="66" xfId="0" applyNumberFormat="1" applyFont="1" applyFill="1" applyBorder="1" applyAlignment="1">
      <alignment horizontal="left"/>
    </xf>
    <xf numFmtId="0" fontId="23" fillId="36" borderId="0" xfId="0" applyNumberFormat="1" applyFont="1" applyFill="1" applyBorder="1" applyAlignment="1">
      <alignment horizontal="left"/>
    </xf>
    <xf numFmtId="0" fontId="23" fillId="36" borderId="22" xfId="0" applyNumberFormat="1" applyFont="1" applyFill="1" applyBorder="1" applyAlignment="1">
      <alignment horizontal="left"/>
    </xf>
    <xf numFmtId="173" fontId="7" fillId="0" borderId="123" xfId="0" applyNumberFormat="1" applyFont="1" applyBorder="1" applyAlignment="1">
      <alignment horizontal="center"/>
    </xf>
    <xf numFmtId="173" fontId="7" fillId="0" borderId="124" xfId="0" applyNumberFormat="1" applyFont="1" applyBorder="1" applyAlignment="1">
      <alignment horizontal="center"/>
    </xf>
    <xf numFmtId="173" fontId="7" fillId="0" borderId="43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24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45" borderId="70" xfId="0" applyNumberFormat="1" applyFont="1" applyFill="1" applyBorder="1" applyAlignment="1">
      <alignment horizontal="center" vertical="center" textRotation="90"/>
    </xf>
    <xf numFmtId="0" fontId="11" fillId="45" borderId="72" xfId="0" applyNumberFormat="1" applyFont="1" applyFill="1" applyBorder="1" applyAlignment="1">
      <alignment horizontal="center" vertical="center" textRotation="90"/>
    </xf>
    <xf numFmtId="0" fontId="11" fillId="45" borderId="66" xfId="0" applyNumberFormat="1" applyFont="1" applyFill="1" applyBorder="1" applyAlignment="1">
      <alignment horizontal="center" vertical="center" textRotation="90"/>
    </xf>
    <xf numFmtId="0" fontId="11" fillId="45" borderId="22" xfId="0" applyNumberFormat="1" applyFont="1" applyFill="1" applyBorder="1" applyAlignment="1">
      <alignment horizontal="center" vertical="center" textRotation="90"/>
    </xf>
    <xf numFmtId="0" fontId="11" fillId="45" borderId="67" xfId="0" applyNumberFormat="1" applyFont="1" applyFill="1" applyBorder="1" applyAlignment="1">
      <alignment horizontal="center" vertical="center" textRotation="90"/>
    </xf>
    <xf numFmtId="0" fontId="11" fillId="45" borderId="69" xfId="0" applyNumberFormat="1" applyFont="1" applyFill="1" applyBorder="1" applyAlignment="1">
      <alignment horizontal="center" vertical="center" textRotation="90"/>
    </xf>
    <xf numFmtId="0" fontId="10" fillId="33" borderId="71" xfId="0" applyNumberFormat="1" applyFont="1" applyFill="1" applyBorder="1" applyAlignment="1">
      <alignment horizontal="center"/>
    </xf>
    <xf numFmtId="0" fontId="4" fillId="0" borderId="125" xfId="0" applyNumberFormat="1" applyFont="1" applyBorder="1" applyAlignment="1" applyProtection="1">
      <alignment horizontal="center"/>
      <protection/>
    </xf>
    <xf numFmtId="0" fontId="0" fillId="0" borderId="126" xfId="0" applyBorder="1" applyAlignment="1">
      <alignment horizontal="center"/>
    </xf>
    <xf numFmtId="0" fontId="4" fillId="0" borderId="107" xfId="0" applyNumberFormat="1" applyFont="1" applyBorder="1" applyAlignment="1" applyProtection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2" fontId="50" fillId="0" borderId="128" xfId="0" applyNumberFormat="1" applyFont="1" applyBorder="1" applyAlignment="1">
      <alignment horizontal="center" vertical="center"/>
    </xf>
    <xf numFmtId="2" fontId="59" fillId="0" borderId="129" xfId="0" applyNumberFormat="1" applyFont="1" applyBorder="1" applyAlignment="1">
      <alignment horizontal="center" vertical="center"/>
    </xf>
    <xf numFmtId="2" fontId="50" fillId="0" borderId="130" xfId="0" applyNumberFormat="1" applyFont="1" applyBorder="1" applyAlignment="1">
      <alignment horizontal="center" vertical="center"/>
    </xf>
    <xf numFmtId="2" fontId="59" fillId="0" borderId="131" xfId="0" applyNumberFormat="1" applyFont="1" applyBorder="1" applyAlignment="1">
      <alignment horizontal="center" vertical="center"/>
    </xf>
    <xf numFmtId="2" fontId="9" fillId="0" borderId="115" xfId="0" applyNumberFormat="1" applyFont="1" applyBorder="1" applyAlignment="1">
      <alignment horizontal="center" vertical="center"/>
    </xf>
    <xf numFmtId="2" fontId="0" fillId="0" borderId="132" xfId="0" applyNumberFormat="1" applyBorder="1" applyAlignment="1">
      <alignment horizontal="center" vertical="center"/>
    </xf>
    <xf numFmtId="2" fontId="9" fillId="0" borderId="117" xfId="0" applyNumberFormat="1" applyFont="1" applyBorder="1" applyAlignment="1">
      <alignment horizontal="center" vertical="center"/>
    </xf>
    <xf numFmtId="2" fontId="0" fillId="0" borderId="80" xfId="0" applyNumberFormat="1" applyBorder="1" applyAlignment="1">
      <alignment horizontal="center" vertical="center"/>
    </xf>
    <xf numFmtId="2" fontId="50" fillId="0" borderId="133" xfId="0" applyNumberFormat="1" applyFont="1" applyBorder="1" applyAlignment="1">
      <alignment horizontal="center" vertical="center"/>
    </xf>
    <xf numFmtId="2" fontId="59" fillId="0" borderId="134" xfId="0" applyNumberFormat="1" applyFont="1" applyBorder="1" applyAlignment="1">
      <alignment horizontal="center" vertical="center"/>
    </xf>
    <xf numFmtId="2" fontId="9" fillId="0" borderId="112" xfId="0" applyNumberFormat="1" applyFont="1" applyBorder="1" applyAlignment="1">
      <alignment horizontal="center" vertical="center"/>
    </xf>
    <xf numFmtId="2" fontId="0" fillId="0" borderId="135" xfId="0" applyNumberForma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7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NumberFormat="1" applyFont="1" applyBorder="1" applyAlignment="1" applyProtection="1">
      <alignment horizontal="center"/>
      <protection/>
    </xf>
    <xf numFmtId="0" fontId="58" fillId="0" borderId="0" xfId="0" applyFont="1" applyAlignment="1">
      <alignment horizontal="center"/>
    </xf>
    <xf numFmtId="0" fontId="9" fillId="0" borderId="136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137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2" fontId="51" fillId="43" borderId="136" xfId="0" applyNumberFormat="1" applyFont="1" applyFill="1" applyBorder="1" applyAlignment="1">
      <alignment horizontal="center" vertical="center"/>
    </xf>
    <xf numFmtId="0" fontId="51" fillId="0" borderId="124" xfId="0" applyFont="1" applyBorder="1" applyAlignment="1">
      <alignment horizontal="center" vertical="center"/>
    </xf>
    <xf numFmtId="0" fontId="51" fillId="0" borderId="137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13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60" fillId="0" borderId="139" xfId="0" applyNumberFormat="1" applyFont="1" applyBorder="1" applyAlignment="1" applyProtection="1">
      <alignment horizontal="center"/>
      <protection/>
    </xf>
    <xf numFmtId="0" fontId="60" fillId="0" borderId="140" xfId="0" applyNumberFormat="1" applyFont="1" applyBorder="1" applyAlignment="1" applyProtection="1">
      <alignment horizontal="center"/>
      <protection/>
    </xf>
    <xf numFmtId="0" fontId="60" fillId="0" borderId="141" xfId="0" applyNumberFormat="1" applyFont="1" applyBorder="1" applyAlignment="1" applyProtection="1">
      <alignment horizontal="center" vertical="center"/>
      <protection/>
    </xf>
    <xf numFmtId="0" fontId="60" fillId="0" borderId="142" xfId="0" applyNumberFormat="1" applyFont="1" applyBorder="1" applyAlignment="1" applyProtection="1">
      <alignment horizontal="center" vertical="center"/>
      <protection/>
    </xf>
    <xf numFmtId="0" fontId="60" fillId="0" borderId="143" xfId="0" applyNumberFormat="1" applyFont="1" applyBorder="1" applyAlignment="1" applyProtection="1">
      <alignment horizontal="center" vertical="center"/>
      <protection/>
    </xf>
    <xf numFmtId="0" fontId="60" fillId="0" borderId="144" xfId="0" applyNumberFormat="1" applyFont="1" applyBorder="1" applyAlignment="1" applyProtection="1">
      <alignment horizontal="center" vertical="center"/>
      <protection/>
    </xf>
    <xf numFmtId="0" fontId="60" fillId="0" borderId="145" xfId="0" applyNumberFormat="1" applyFont="1" applyBorder="1" applyAlignment="1" applyProtection="1">
      <alignment horizontal="center" vertical="center"/>
      <protection/>
    </xf>
    <xf numFmtId="0" fontId="60" fillId="0" borderId="71" xfId="0" applyNumberFormat="1" applyFont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14" fillId="0" borderId="146" xfId="0" applyNumberFormat="1" applyFont="1" applyBorder="1" applyAlignment="1" applyProtection="1">
      <alignment horizontal="center" vertical="center"/>
      <protection/>
    </xf>
    <xf numFmtId="0" fontId="14" fillId="0" borderId="79" xfId="0" applyNumberFormat="1" applyFont="1" applyBorder="1" applyAlignment="1" applyProtection="1">
      <alignment horizontal="center" vertical="center"/>
      <protection/>
    </xf>
    <xf numFmtId="0" fontId="6" fillId="0" borderId="147" xfId="0" applyNumberFormat="1" applyFont="1" applyBorder="1" applyAlignment="1" applyProtection="1">
      <alignment horizontal="center" vertical="center"/>
      <protection/>
    </xf>
    <xf numFmtId="0" fontId="6" fillId="0" borderId="148" xfId="0" applyNumberFormat="1" applyFont="1" applyBorder="1" applyAlignment="1" applyProtection="1">
      <alignment horizontal="center" vertical="center"/>
      <protection/>
    </xf>
    <xf numFmtId="0" fontId="4" fillId="0" borderId="149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0" fontId="4" fillId="0" borderId="150" xfId="0" applyNumberFormat="1" applyFont="1" applyBorder="1" applyAlignment="1" applyProtection="1">
      <alignment horizontal="center" vertical="center"/>
      <protection/>
    </xf>
    <xf numFmtId="0" fontId="4" fillId="0" borderId="151" xfId="0" applyNumberFormat="1" applyFont="1" applyBorder="1" applyAlignment="1" applyProtection="1">
      <alignment horizontal="center" vertical="center"/>
      <protection/>
    </xf>
    <xf numFmtId="0" fontId="60" fillId="0" borderId="152" xfId="0" applyNumberFormat="1" applyFont="1" applyBorder="1" applyAlignment="1" applyProtection="1">
      <alignment horizontal="center" vertical="center"/>
      <protection/>
    </xf>
    <xf numFmtId="0" fontId="9" fillId="0" borderId="138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5" fillId="0" borderId="147" xfId="0" applyNumberFormat="1" applyFont="1" applyBorder="1" applyAlignment="1" applyProtection="1">
      <alignment horizontal="center" vertical="center"/>
      <protection/>
    </xf>
    <xf numFmtId="0" fontId="5" fillId="0" borderId="148" xfId="0" applyNumberFormat="1" applyFont="1" applyBorder="1" applyAlignment="1" applyProtection="1">
      <alignment horizontal="center" vertical="center"/>
      <protection/>
    </xf>
    <xf numFmtId="0" fontId="5" fillId="0" borderId="153" xfId="0" applyNumberFormat="1" applyFont="1" applyBorder="1" applyAlignment="1" applyProtection="1">
      <alignment horizontal="center" vertical="center"/>
      <protection/>
    </xf>
    <xf numFmtId="0" fontId="5" fillId="0" borderId="69" xfId="0" applyNumberFormat="1" applyFont="1" applyBorder="1" applyAlignment="1" applyProtection="1">
      <alignment horizontal="center" vertical="center"/>
      <protection/>
    </xf>
    <xf numFmtId="0" fontId="10" fillId="0" borderId="15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73" fontId="22" fillId="0" borderId="97" xfId="0" applyNumberFormat="1" applyFont="1" applyBorder="1" applyAlignment="1">
      <alignment horizontal="center" vertical="center"/>
    </xf>
    <xf numFmtId="173" fontId="22" fillId="0" borderId="99" xfId="0" applyNumberFormat="1" applyFont="1" applyBorder="1" applyAlignment="1">
      <alignment horizontal="center" vertical="center"/>
    </xf>
    <xf numFmtId="1" fontId="22" fillId="0" borderId="97" xfId="0" applyNumberFormat="1" applyFont="1" applyBorder="1" applyAlignment="1">
      <alignment horizontal="center" vertical="center"/>
    </xf>
    <xf numFmtId="1" fontId="22" fillId="0" borderId="156" xfId="0" applyNumberFormat="1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39" fillId="0" borderId="84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2" fontId="22" fillId="0" borderId="97" xfId="0" applyNumberFormat="1" applyFont="1" applyBorder="1" applyAlignment="1">
      <alignment horizontal="center" vertical="center"/>
    </xf>
    <xf numFmtId="2" fontId="22" fillId="0" borderId="98" xfId="0" applyNumberFormat="1" applyFont="1" applyBorder="1" applyAlignment="1">
      <alignment horizontal="center" vertical="center"/>
    </xf>
    <xf numFmtId="2" fontId="22" fillId="0" borderId="99" xfId="0" applyNumberFormat="1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11" fillId="0" borderId="66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22" xfId="0" applyFont="1" applyBorder="1" applyAlignment="1" quotePrefix="1">
      <alignment horizontal="center" vertical="center"/>
    </xf>
    <xf numFmtId="0" fontId="19" fillId="0" borderId="67" xfId="0" applyFont="1" applyBorder="1" applyAlignment="1" quotePrefix="1">
      <alignment horizontal="center" vertical="center"/>
    </xf>
    <xf numFmtId="0" fontId="19" fillId="0" borderId="68" xfId="0" applyFont="1" applyBorder="1" applyAlignment="1" quotePrefix="1">
      <alignment horizontal="center" vertical="center"/>
    </xf>
    <xf numFmtId="0" fontId="19" fillId="0" borderId="69" xfId="0" applyFont="1" applyBorder="1" applyAlignment="1" quotePrefix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textRotation="90"/>
    </xf>
    <xf numFmtId="0" fontId="9" fillId="0" borderId="157" xfId="0" applyFont="1" applyBorder="1" applyAlignment="1">
      <alignment horizontal="center" textRotation="90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22" fillId="0" borderId="85" xfId="0" applyFont="1" applyBorder="1" applyAlignment="1" applyProtection="1">
      <alignment horizontal="center" vertical="center"/>
      <protection locked="0"/>
    </xf>
    <xf numFmtId="0" fontId="22" fillId="0" borderId="86" xfId="0" applyFont="1" applyBorder="1" applyAlignment="1" applyProtection="1">
      <alignment horizontal="center" vertical="center"/>
      <protection locked="0"/>
    </xf>
    <xf numFmtId="173" fontId="10" fillId="0" borderId="85" xfId="0" applyNumberFormat="1" applyFont="1" applyBorder="1" applyAlignment="1" applyProtection="1">
      <alignment horizontal="center" vertical="center"/>
      <protection locked="0"/>
    </xf>
    <xf numFmtId="173" fontId="10" fillId="0" borderId="86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10" fillId="0" borderId="84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91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 quotePrefix="1">
      <alignment horizontal="center" vertical="center"/>
      <protection locked="0"/>
    </xf>
    <xf numFmtId="0" fontId="21" fillId="0" borderId="158" xfId="0" applyFont="1" applyBorder="1" applyAlignment="1" applyProtection="1">
      <alignment horizontal="center" vertical="center"/>
      <protection locked="0"/>
    </xf>
    <xf numFmtId="184" fontId="21" fillId="0" borderId="158" xfId="0" applyNumberFormat="1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>
      <alignment horizontal="right" vertical="center"/>
    </xf>
    <xf numFmtId="0" fontId="4" fillId="0" borderId="89" xfId="0" applyFont="1" applyBorder="1" applyAlignment="1">
      <alignment horizontal="right" vertical="center"/>
    </xf>
    <xf numFmtId="0" fontId="49" fillId="0" borderId="159" xfId="0" applyFont="1" applyBorder="1" applyAlignment="1">
      <alignment horizontal="center" vertical="center"/>
    </xf>
    <xf numFmtId="0" fontId="49" fillId="0" borderId="1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184" fontId="21" fillId="0" borderId="87" xfId="0" applyNumberFormat="1" applyFont="1" applyBorder="1" applyAlignment="1" applyProtection="1">
      <alignment horizontal="center" vertical="center"/>
      <protection locked="0"/>
    </xf>
    <xf numFmtId="184" fontId="21" fillId="0" borderId="20" xfId="0" applyNumberFormat="1" applyFont="1" applyBorder="1" applyAlignment="1" applyProtection="1">
      <alignment horizontal="center" vertical="center"/>
      <protection locked="0"/>
    </xf>
    <xf numFmtId="184" fontId="21" fillId="0" borderId="91" xfId="0" applyNumberFormat="1" applyFont="1" applyBorder="1" applyAlignment="1" applyProtection="1">
      <alignment horizontal="center" vertical="center"/>
      <protection locked="0"/>
    </xf>
    <xf numFmtId="184" fontId="21" fillId="0" borderId="92" xfId="0" applyNumberFormat="1" applyFont="1" applyBorder="1" applyAlignment="1" applyProtection="1">
      <alignment horizontal="center" vertical="center"/>
      <protection locked="0"/>
    </xf>
    <xf numFmtId="184" fontId="21" fillId="0" borderId="0" xfId="0" applyNumberFormat="1" applyFont="1" applyBorder="1" applyAlignment="1" applyProtection="1">
      <alignment horizontal="center" vertical="center"/>
      <protection locked="0"/>
    </xf>
    <xf numFmtId="184" fontId="21" fillId="0" borderId="93" xfId="0" applyNumberFormat="1" applyFont="1" applyBorder="1" applyAlignment="1" applyProtection="1">
      <alignment horizontal="center" vertical="center"/>
      <protection locked="0"/>
    </xf>
    <xf numFmtId="184" fontId="21" fillId="0" borderId="88" xfId="0" applyNumberFormat="1" applyFont="1" applyBorder="1" applyAlignment="1" applyProtection="1">
      <alignment horizontal="center" vertical="center"/>
      <protection locked="0"/>
    </xf>
    <xf numFmtId="184" fontId="21" fillId="0" borderId="21" xfId="0" applyNumberFormat="1" applyFont="1" applyBorder="1" applyAlignment="1" applyProtection="1">
      <alignment horizontal="center" vertical="center"/>
      <protection locked="0"/>
    </xf>
    <xf numFmtId="184" fontId="21" fillId="0" borderId="89" xfId="0" applyNumberFormat="1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93" xfId="0" applyFont="1" applyBorder="1" applyAlignment="1" applyProtection="1">
      <alignment horizontal="center" vertical="center"/>
      <protection locked="0"/>
    </xf>
    <xf numFmtId="2" fontId="10" fillId="0" borderId="8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2" fontId="28" fillId="0" borderId="20" xfId="0" applyNumberFormat="1" applyFont="1" applyBorder="1" applyAlignment="1">
      <alignment horizontal="center" vertical="center"/>
    </xf>
    <xf numFmtId="2" fontId="2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12"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2"/>
        </patternFill>
      </fill>
    </dxf>
    <dxf>
      <fill>
        <patternFill>
          <bgColor indexed="15"/>
        </patternFill>
      </fill>
    </dxf>
    <dxf>
      <font>
        <color rgb="FFFFFFFF"/>
      </font>
      <fill>
        <patternFill patternType="solid">
          <bgColor rgb="FF0000FF"/>
        </patternFill>
      </fill>
      <border/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8</xdr:row>
      <xdr:rowOff>180975</xdr:rowOff>
    </xdr:from>
    <xdr:to>
      <xdr:col>5</xdr:col>
      <xdr:colOff>304800</xdr:colOff>
      <xdr:row>10</xdr:row>
      <xdr:rowOff>123825</xdr:rowOff>
    </xdr:to>
    <xdr:sp macro="[0]!deuxdecimales">
      <xdr:nvSpPr>
        <xdr:cNvPr id="1" name="Rectangle 20"/>
        <xdr:cNvSpPr>
          <a:spLocks/>
        </xdr:cNvSpPr>
      </xdr:nvSpPr>
      <xdr:spPr>
        <a:xfrm>
          <a:off x="4857750" y="1838325"/>
          <a:ext cx="752475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714375</xdr:colOff>
      <xdr:row>8</xdr:row>
      <xdr:rowOff>180975</xdr:rowOff>
    </xdr:from>
    <xdr:to>
      <xdr:col>6</xdr:col>
      <xdr:colOff>466725</xdr:colOff>
      <xdr:row>10</xdr:row>
      <xdr:rowOff>123825</xdr:rowOff>
    </xdr:to>
    <xdr:sp macro="[0]!troisdecimales">
      <xdr:nvSpPr>
        <xdr:cNvPr id="2" name="Rectangle 22"/>
        <xdr:cNvSpPr>
          <a:spLocks/>
        </xdr:cNvSpPr>
      </xdr:nvSpPr>
      <xdr:spPr>
        <a:xfrm>
          <a:off x="6019800" y="1838325"/>
          <a:ext cx="752475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15</xdr:col>
      <xdr:colOff>9525</xdr:colOff>
      <xdr:row>1</xdr:row>
      <xdr:rowOff>171450</xdr:rowOff>
    </xdr:to>
    <xdr:sp>
      <xdr:nvSpPr>
        <xdr:cNvPr id="1" name="Rectangle 17"/>
        <xdr:cNvSpPr>
          <a:spLocks/>
        </xdr:cNvSpPr>
      </xdr:nvSpPr>
      <xdr:spPr>
        <a:xfrm>
          <a:off x="2876550" y="0"/>
          <a:ext cx="7124700" cy="361950"/>
        </a:xfrm>
        <a:prstGeom prst="rect">
          <a:avLst/>
        </a:prstGeom>
        <a:solidFill>
          <a:srgbClr val="00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entrer les résultats dans les cases bleues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0</xdr:rowOff>
    </xdr:from>
    <xdr:to>
      <xdr:col>1</xdr:col>
      <xdr:colOff>1171575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0</xdr:rowOff>
    </xdr:from>
    <xdr:to>
      <xdr:col>1</xdr:col>
      <xdr:colOff>1171575</xdr:colOff>
      <xdr:row>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1343025</xdr:colOff>
      <xdr:row>4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323850</xdr:colOff>
      <xdr:row>2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14375" cy="800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390525</xdr:colOff>
      <xdr:row>55</xdr:row>
      <xdr:rowOff>76200</xdr:rowOff>
    </xdr:from>
    <xdr:to>
      <xdr:col>10</xdr:col>
      <xdr:colOff>228600</xdr:colOff>
      <xdr:row>61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b="46258"/>
        <a:stretch>
          <a:fillRect/>
        </a:stretch>
      </xdr:blipFill>
      <xdr:spPr>
        <a:xfrm>
          <a:off x="1228725" y="11868150"/>
          <a:ext cx="2924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57</xdr:row>
      <xdr:rowOff>76200</xdr:rowOff>
    </xdr:from>
    <xdr:to>
      <xdr:col>20</xdr:col>
      <xdr:colOff>371475</xdr:colOff>
      <xdr:row>60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12249150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28575</xdr:rowOff>
    </xdr:from>
    <xdr:to>
      <xdr:col>13</xdr:col>
      <xdr:colOff>0</xdr:colOff>
      <xdr:row>50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rcRect t="9719" r="44171" b="63597"/>
        <a:stretch>
          <a:fillRect/>
        </a:stretch>
      </xdr:blipFill>
      <xdr:spPr>
        <a:xfrm>
          <a:off x="2162175" y="10067925"/>
          <a:ext cx="2752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46</xdr:row>
      <xdr:rowOff>104775</xdr:rowOff>
    </xdr:from>
    <xdr:to>
      <xdr:col>22</xdr:col>
      <xdr:colOff>209550</xdr:colOff>
      <xdr:row>50</xdr:row>
      <xdr:rowOff>104775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rcRect l="5058" t="55400" r="25126" b="15118"/>
        <a:stretch>
          <a:fillRect/>
        </a:stretch>
      </xdr:blipFill>
      <xdr:spPr>
        <a:xfrm>
          <a:off x="5934075" y="10144125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342900</xdr:colOff>
      <xdr:row>0</xdr:row>
      <xdr:rowOff>66675</xdr:rowOff>
    </xdr:from>
    <xdr:to>
      <xdr:col>22</xdr:col>
      <xdr:colOff>228600</xdr:colOff>
      <xdr:row>4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66675"/>
          <a:ext cx="723900" cy="10572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76200</xdr:colOff>
      <xdr:row>59</xdr:row>
      <xdr:rowOff>76200</xdr:rowOff>
    </xdr:from>
    <xdr:to>
      <xdr:col>15</xdr:col>
      <xdr:colOff>200025</xdr:colOff>
      <xdr:row>65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2639675"/>
          <a:ext cx="962025" cy="1066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6"/>
  <sheetViews>
    <sheetView zoomScale="110" zoomScaleNormal="110" zoomScalePageLayoutView="0" workbookViewId="0" topLeftCell="A1">
      <selection activeCell="H17" sqref="H17"/>
    </sheetView>
  </sheetViews>
  <sheetFormatPr defaultColWidth="9.6640625" defaultRowHeight="15"/>
  <cols>
    <col min="1" max="1" width="10.6640625" style="0" customWidth="1"/>
    <col min="2" max="2" width="14.77734375" style="0" customWidth="1"/>
    <col min="3" max="3" width="13.6640625" style="0" customWidth="1"/>
    <col min="4" max="4" width="11.10546875" style="0" customWidth="1"/>
    <col min="5" max="6" width="11.6640625" style="0" customWidth="1"/>
    <col min="7" max="7" width="11.77734375" style="0" customWidth="1"/>
    <col min="8" max="8" width="5.3359375" style="0" customWidth="1"/>
  </cols>
  <sheetData>
    <row r="1" spans="1:9" ht="15">
      <c r="A1" s="334" t="s">
        <v>34</v>
      </c>
      <c r="B1" s="335"/>
      <c r="C1" s="335"/>
      <c r="D1" s="335"/>
      <c r="E1" s="335"/>
      <c r="F1" s="335"/>
      <c r="G1" s="335"/>
      <c r="H1" s="337"/>
      <c r="I1" s="337"/>
    </row>
    <row r="2" spans="1:9" ht="20.25" customHeight="1">
      <c r="A2" s="336"/>
      <c r="B2" s="328" t="s">
        <v>160</v>
      </c>
      <c r="C2" s="417" t="s">
        <v>171</v>
      </c>
      <c r="D2" s="418"/>
      <c r="E2" s="418"/>
      <c r="F2" s="418"/>
      <c r="G2" s="419"/>
      <c r="H2" s="338"/>
      <c r="I2" s="338"/>
    </row>
    <row r="3" spans="1:9" ht="15.75" thickBot="1">
      <c r="A3" s="336"/>
      <c r="B3" s="328" t="s">
        <v>161</v>
      </c>
      <c r="C3" s="329" t="s">
        <v>177</v>
      </c>
      <c r="D3" s="330"/>
      <c r="E3" s="338"/>
      <c r="F3" s="336"/>
      <c r="G3" s="336"/>
      <c r="H3" s="338"/>
      <c r="I3" s="338"/>
    </row>
    <row r="4" spans="1:9" ht="15.75">
      <c r="A4" s="336"/>
      <c r="B4" s="328" t="s">
        <v>162</v>
      </c>
      <c r="C4" s="329" t="s">
        <v>178</v>
      </c>
      <c r="D4" s="331"/>
      <c r="E4" s="423" t="s">
        <v>90</v>
      </c>
      <c r="F4" s="424"/>
      <c r="G4" s="424"/>
      <c r="H4" s="425"/>
      <c r="I4" s="338"/>
    </row>
    <row r="5" spans="1:9" ht="15.75">
      <c r="A5" s="336"/>
      <c r="B5" s="328" t="s">
        <v>163</v>
      </c>
      <c r="C5" s="332">
        <v>80</v>
      </c>
      <c r="D5" s="331" t="s">
        <v>7</v>
      </c>
      <c r="E5" s="426" t="s">
        <v>92</v>
      </c>
      <c r="F5" s="427"/>
      <c r="G5" s="427"/>
      <c r="H5" s="428"/>
      <c r="I5" s="338"/>
    </row>
    <row r="6" spans="1:9" ht="15.75">
      <c r="A6" s="336"/>
      <c r="B6" s="328" t="s">
        <v>164</v>
      </c>
      <c r="C6" s="329" t="s">
        <v>179</v>
      </c>
      <c r="D6" s="331"/>
      <c r="E6" s="426" t="s">
        <v>91</v>
      </c>
      <c r="F6" s="427"/>
      <c r="G6" s="427"/>
      <c r="H6" s="428"/>
      <c r="I6" s="338"/>
    </row>
    <row r="7" spans="1:9" ht="15.75">
      <c r="A7" s="336"/>
      <c r="B7" s="328" t="s">
        <v>165</v>
      </c>
      <c r="C7" s="329" t="s">
        <v>186</v>
      </c>
      <c r="D7" s="331"/>
      <c r="E7" s="426" t="s">
        <v>93</v>
      </c>
      <c r="F7" s="427"/>
      <c r="G7" s="427"/>
      <c r="H7" s="428"/>
      <c r="I7" s="338"/>
    </row>
    <row r="8" spans="1:9" ht="16.5" thickBot="1">
      <c r="A8" s="336"/>
      <c r="B8" s="328" t="s">
        <v>166</v>
      </c>
      <c r="C8" s="329" t="s">
        <v>187</v>
      </c>
      <c r="D8" s="331"/>
      <c r="E8" s="420" t="s">
        <v>94</v>
      </c>
      <c r="F8" s="421"/>
      <c r="G8" s="421"/>
      <c r="H8" s="422"/>
      <c r="I8" s="338"/>
    </row>
    <row r="9" spans="1:9" ht="15">
      <c r="A9" s="336"/>
      <c r="B9" s="328" t="s">
        <v>167</v>
      </c>
      <c r="C9" s="333" t="s">
        <v>188</v>
      </c>
      <c r="D9" s="330"/>
      <c r="E9" s="336"/>
      <c r="F9" s="339" t="s">
        <v>100</v>
      </c>
      <c r="G9" s="336"/>
      <c r="H9" s="338"/>
      <c r="I9" s="338"/>
    </row>
    <row r="10" spans="1:9" ht="15">
      <c r="A10" s="336"/>
      <c r="B10" s="328" t="s">
        <v>168</v>
      </c>
      <c r="C10" s="333" t="s">
        <v>189</v>
      </c>
      <c r="D10" s="330"/>
      <c r="E10" s="336"/>
      <c r="F10" s="336"/>
      <c r="G10" s="336"/>
      <c r="H10" s="338"/>
      <c r="I10" s="338"/>
    </row>
    <row r="11" spans="1:9" ht="15.75" thickBot="1">
      <c r="A11" s="336"/>
      <c r="B11" s="336"/>
      <c r="C11" s="336"/>
      <c r="D11" s="336"/>
      <c r="E11" s="336"/>
      <c r="F11" s="336"/>
      <c r="G11" s="336"/>
      <c r="H11" s="338"/>
      <c r="I11" s="338"/>
    </row>
    <row r="12" spans="1:9" ht="15.75">
      <c r="A12" s="208" t="s">
        <v>1</v>
      </c>
      <c r="B12" s="217" t="s">
        <v>2</v>
      </c>
      <c r="C12" s="340" t="s">
        <v>3</v>
      </c>
      <c r="D12" s="340" t="s">
        <v>4</v>
      </c>
      <c r="E12" s="340" t="s">
        <v>5</v>
      </c>
      <c r="F12" s="341" t="s">
        <v>6</v>
      </c>
      <c r="G12" s="342"/>
      <c r="H12" s="338"/>
      <c r="I12" s="338"/>
    </row>
    <row r="13" spans="1:9" ht="21" customHeight="1">
      <c r="A13" s="215">
        <v>1</v>
      </c>
      <c r="B13" s="348" t="s">
        <v>190</v>
      </c>
      <c r="C13" s="343" t="s">
        <v>185</v>
      </c>
      <c r="D13" s="343" t="s">
        <v>182</v>
      </c>
      <c r="E13" s="343" t="s">
        <v>191</v>
      </c>
      <c r="F13" s="399">
        <v>2.8</v>
      </c>
      <c r="G13" s="344">
        <f aca="true" t="shared" si="0" ref="G13:G18">A13</f>
        <v>1</v>
      </c>
      <c r="H13" s="338"/>
      <c r="I13" s="338"/>
    </row>
    <row r="14" spans="1:9" ht="21" customHeight="1">
      <c r="A14" s="215">
        <v>2</v>
      </c>
      <c r="B14" s="348" t="s">
        <v>192</v>
      </c>
      <c r="C14" s="343" t="s">
        <v>193</v>
      </c>
      <c r="D14" s="343" t="s">
        <v>184</v>
      </c>
      <c r="E14" s="343" t="s">
        <v>194</v>
      </c>
      <c r="F14" s="399">
        <v>2.53</v>
      </c>
      <c r="G14" s="344">
        <f t="shared" si="0"/>
        <v>2</v>
      </c>
      <c r="H14" s="338"/>
      <c r="I14" s="338"/>
    </row>
    <row r="15" spans="1:9" ht="21" customHeight="1">
      <c r="A15" s="215">
        <v>3</v>
      </c>
      <c r="B15" s="348" t="s">
        <v>195</v>
      </c>
      <c r="C15" s="349" t="s">
        <v>196</v>
      </c>
      <c r="D15" s="343" t="s">
        <v>197</v>
      </c>
      <c r="E15" s="343" t="s">
        <v>198</v>
      </c>
      <c r="F15" s="399">
        <v>2.32</v>
      </c>
      <c r="G15" s="344">
        <f t="shared" si="0"/>
        <v>3</v>
      </c>
      <c r="H15" s="338"/>
      <c r="I15" s="338"/>
    </row>
    <row r="16" spans="1:9" ht="21" customHeight="1">
      <c r="A16" s="216">
        <v>4</v>
      </c>
      <c r="B16" s="348" t="s">
        <v>199</v>
      </c>
      <c r="C16" s="350" t="s">
        <v>200</v>
      </c>
      <c r="D16" s="343" t="s">
        <v>201</v>
      </c>
      <c r="E16" s="345" t="s">
        <v>202</v>
      </c>
      <c r="F16" s="400">
        <v>1.42</v>
      </c>
      <c r="G16" s="344">
        <f t="shared" si="0"/>
        <v>4</v>
      </c>
      <c r="H16" s="338"/>
      <c r="I16" s="338"/>
    </row>
    <row r="17" spans="1:9" ht="21" customHeight="1">
      <c r="A17" s="215">
        <v>5</v>
      </c>
      <c r="B17" s="348" t="s">
        <v>203</v>
      </c>
      <c r="C17" s="343" t="s">
        <v>204</v>
      </c>
      <c r="D17" s="343" t="s">
        <v>184</v>
      </c>
      <c r="E17" s="343" t="s">
        <v>205</v>
      </c>
      <c r="F17" s="399">
        <v>1.93</v>
      </c>
      <c r="G17" s="344">
        <f t="shared" si="0"/>
        <v>5</v>
      </c>
      <c r="H17" s="338"/>
      <c r="I17" s="338"/>
    </row>
    <row r="18" spans="1:9" ht="21" customHeight="1" thickBot="1">
      <c r="A18" s="351">
        <v>6</v>
      </c>
      <c r="B18" s="352" t="s">
        <v>180</v>
      </c>
      <c r="C18" s="353" t="s">
        <v>181</v>
      </c>
      <c r="D18" s="346" t="s">
        <v>206</v>
      </c>
      <c r="E18" s="346" t="s">
        <v>183</v>
      </c>
      <c r="F18" s="401">
        <v>2.13</v>
      </c>
      <c r="G18" s="344">
        <f t="shared" si="0"/>
        <v>6</v>
      </c>
      <c r="H18" s="338"/>
      <c r="I18" s="338"/>
    </row>
    <row r="19" spans="1:9" ht="5.25" customHeight="1">
      <c r="A19" s="338"/>
      <c r="B19" s="338"/>
      <c r="C19" s="338"/>
      <c r="D19" s="338"/>
      <c r="E19" s="338"/>
      <c r="F19" s="338"/>
      <c r="G19" s="338"/>
      <c r="H19" s="338"/>
      <c r="I19" s="338"/>
    </row>
    <row r="20" spans="1:9" ht="33" customHeight="1">
      <c r="A20" s="347"/>
      <c r="B20" s="416" t="s">
        <v>99</v>
      </c>
      <c r="C20" s="416"/>
      <c r="D20" s="416"/>
      <c r="E20" s="416"/>
      <c r="F20" s="416"/>
      <c r="G20" s="344"/>
      <c r="H20" s="338"/>
      <c r="I20" s="338"/>
    </row>
    <row r="21" spans="1:9" ht="15">
      <c r="A21" s="338"/>
      <c r="B21" s="338"/>
      <c r="C21" s="338"/>
      <c r="D21" s="338"/>
      <c r="E21" s="338"/>
      <c r="F21" s="338"/>
      <c r="G21" s="338"/>
      <c r="H21" s="338"/>
      <c r="I21" s="338"/>
    </row>
    <row r="22" spans="1:9" ht="15">
      <c r="A22" s="338"/>
      <c r="B22" s="338"/>
      <c r="C22" s="338"/>
      <c r="D22" s="338"/>
      <c r="E22" s="338"/>
      <c r="F22" s="338"/>
      <c r="G22" s="338"/>
      <c r="H22" s="338"/>
      <c r="I22" s="338"/>
    </row>
    <row r="23" spans="1:9" ht="15">
      <c r="A23" s="338"/>
      <c r="B23" s="338"/>
      <c r="C23" s="338"/>
      <c r="D23" s="338"/>
      <c r="E23" s="338"/>
      <c r="F23" s="338"/>
      <c r="G23" s="338"/>
      <c r="H23" s="338"/>
      <c r="I23" s="338"/>
    </row>
    <row r="24" spans="1:9" ht="15">
      <c r="A24" s="338"/>
      <c r="B24" s="338"/>
      <c r="C24" s="338"/>
      <c r="D24" s="338"/>
      <c r="E24" s="338"/>
      <c r="F24" s="338"/>
      <c r="G24" s="338"/>
      <c r="H24" s="338"/>
      <c r="I24" s="338"/>
    </row>
    <row r="25" spans="1:9" ht="15">
      <c r="A25" s="338"/>
      <c r="B25" s="338"/>
      <c r="C25" s="338"/>
      <c r="D25" s="338"/>
      <c r="E25" s="338"/>
      <c r="F25" s="338"/>
      <c r="G25" s="338"/>
      <c r="H25" s="338"/>
      <c r="I25" s="338"/>
    </row>
    <row r="26" spans="1:9" ht="15">
      <c r="A26" s="338"/>
      <c r="B26" s="338"/>
      <c r="C26" s="338"/>
      <c r="D26" s="338"/>
      <c r="E26" s="338"/>
      <c r="F26" s="338"/>
      <c r="G26" s="338"/>
      <c r="H26" s="338"/>
      <c r="I26" s="338"/>
    </row>
  </sheetData>
  <sheetProtection sheet="1" objects="1" scenarios="1"/>
  <mergeCells count="7">
    <mergeCell ref="B20:F20"/>
    <mergeCell ref="C2:G2"/>
    <mergeCell ref="E8:H8"/>
    <mergeCell ref="E4:H4"/>
    <mergeCell ref="E5:H5"/>
    <mergeCell ref="E6:H6"/>
    <mergeCell ref="E7:H7"/>
  </mergeCells>
  <dataValidations count="5">
    <dataValidation type="list" allowBlank="1" showInputMessage="1" showErrorMessage="1" sqref="C4">
      <formula1>"2m80,3m10,1m20"</formula1>
    </dataValidation>
    <dataValidation type="list" allowBlank="1" showInputMessage="1" showErrorMessage="1" sqref="C6">
      <formula1>"BOUCHON,3 BANDES,LIBRE,CADRE 42/2,CADRE 47/2,BANDE"</formula1>
    </dataValidation>
    <dataValidation type="list" allowBlank="1" showInputMessage="1" showErrorMessage="1" sqref="C7">
      <formula1>"DU QUARTIER,TOURNOI,CLASSEMENT,SOUS-DISTRICT,DISTRICT,DEMI-LIGUE,LIGUE,SECTEUR"</formula1>
    </dataValidation>
    <dataValidation type="list" allowBlank="1" showInputMessage="1" showErrorMessage="1" sqref="C3">
      <formula1>"REGIONALE 2/2,REGIONALE 2/1,REGIONALE 1,NATIONALE 2,NATIONALE 1B,NATIONALE 1A,MASTERS"</formula1>
    </dataValidation>
    <dataValidation type="list" allowBlank="1" showInputMessage="1" showErrorMessage="1" sqref="C8">
      <formula1>"ROUSSE ou BLONDE,A,B,C,D,UNIQUE"</formula1>
    </dataValidation>
  </dataValidations>
  <printOptions horizontalCentered="1" verticalCentered="1"/>
  <pageMargins left="0.12569444444444444" right="0.45902777777777776" top="0.15694444444444444" bottom="0.4583333333333333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Q88"/>
  <sheetViews>
    <sheetView showGridLines="0" zoomScale="70" zoomScaleNormal="70" zoomScalePageLayoutView="0" workbookViewId="0" topLeftCell="A1">
      <pane ySplit="2" topLeftCell="A25" activePane="bottomLeft" state="frozen"/>
      <selection pane="topLeft" activeCell="A1" sqref="A1"/>
      <selection pane="bottomLeft" activeCell="A8" sqref="A8:U8"/>
    </sheetView>
  </sheetViews>
  <sheetFormatPr defaultColWidth="9.6640625" defaultRowHeight="15"/>
  <cols>
    <col min="1" max="1" width="2.88671875" style="0" customWidth="1"/>
    <col min="2" max="9" width="7.6640625" style="0" customWidth="1"/>
    <col min="10" max="10" width="8.99609375" style="0" customWidth="1"/>
    <col min="11" max="11" width="12.6640625" style="0" customWidth="1"/>
    <col min="12" max="19" width="7.6640625" style="0" customWidth="1"/>
    <col min="20" max="20" width="8.99609375" style="0" customWidth="1"/>
    <col min="21" max="21" width="3.6640625" style="0" customWidth="1"/>
    <col min="22" max="24" width="9.6640625" style="0" customWidth="1"/>
    <col min="25" max="25" width="7.3359375" style="0" bestFit="1" customWidth="1"/>
    <col min="26" max="26" width="5.6640625" style="0" bestFit="1" customWidth="1"/>
    <col min="27" max="27" width="12.99609375" style="0" bestFit="1" customWidth="1"/>
    <col min="28" max="28" width="5.6640625" style="0" bestFit="1" customWidth="1"/>
    <col min="29" max="29" width="3.77734375" style="0" bestFit="1" customWidth="1"/>
    <col min="30" max="30" width="5.10546875" style="0" bestFit="1" customWidth="1"/>
    <col min="31" max="31" width="6.5546875" style="0" bestFit="1" customWidth="1"/>
    <col min="32" max="32" width="12.99609375" style="0" bestFit="1" customWidth="1"/>
    <col min="33" max="33" width="7.3359375" style="0" bestFit="1" customWidth="1"/>
    <col min="34" max="34" width="4.5546875" style="0" bestFit="1" customWidth="1"/>
    <col min="35" max="35" width="3.21484375" style="0" bestFit="1" customWidth="1"/>
    <col min="36" max="36" width="6.10546875" style="0" bestFit="1" customWidth="1"/>
    <col min="37" max="37" width="13.6640625" style="0" bestFit="1" customWidth="1"/>
    <col min="38" max="38" width="6.5546875" style="0" bestFit="1" customWidth="1"/>
    <col min="39" max="39" width="4.10546875" style="0" bestFit="1" customWidth="1"/>
    <col min="40" max="40" width="5.21484375" style="0" bestFit="1" customWidth="1"/>
    <col min="41" max="41" width="6.99609375" style="0" bestFit="1" customWidth="1"/>
    <col min="42" max="42" width="13.6640625" style="0" bestFit="1" customWidth="1"/>
    <col min="43" max="43" width="3.21484375" style="0" bestFit="1" customWidth="1"/>
  </cols>
  <sheetData>
    <row r="1" spans="1:21" ht="1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1:21" ht="15.75" thickBo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95"/>
      <c r="N2" s="195"/>
      <c r="O2" s="195"/>
      <c r="P2" s="195"/>
      <c r="Q2" s="195"/>
      <c r="R2" s="195"/>
      <c r="S2" s="195"/>
      <c r="T2" s="195"/>
      <c r="U2" s="196"/>
    </row>
    <row r="3" spans="1:21" ht="59.2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2"/>
    </row>
    <row r="4" spans="1:21" ht="24.75" customHeight="1" thickBot="1">
      <c r="A4" s="203"/>
      <c r="B4" s="204"/>
      <c r="C4" s="205" t="s">
        <v>88</v>
      </c>
      <c r="D4" s="206"/>
      <c r="E4" s="204"/>
      <c r="F4" s="204"/>
      <c r="G4" s="204"/>
      <c r="H4" s="204"/>
      <c r="I4" s="204"/>
      <c r="J4" s="204"/>
      <c r="K4" s="204"/>
      <c r="L4" s="206"/>
      <c r="M4" s="206"/>
      <c r="N4" s="206"/>
      <c r="O4" s="206"/>
      <c r="P4" s="206"/>
      <c r="Q4" s="206"/>
      <c r="R4" s="206"/>
      <c r="S4" s="206"/>
      <c r="T4" s="206"/>
      <c r="U4" s="207"/>
    </row>
    <row r="5" spans="1:21" ht="32.25" customHeight="1">
      <c r="A5" s="441" t="s">
        <v>87</v>
      </c>
      <c r="B5" s="442"/>
      <c r="C5" s="197"/>
      <c r="D5" s="198" t="s">
        <v>86</v>
      </c>
      <c r="E5" s="178"/>
      <c r="F5" s="177"/>
      <c r="G5" s="178"/>
      <c r="H5" s="178"/>
      <c r="I5" s="177"/>
      <c r="J5" s="177"/>
      <c r="K5" s="177"/>
      <c r="L5" s="178"/>
      <c r="M5" s="178"/>
      <c r="N5" s="178"/>
      <c r="O5" s="178"/>
      <c r="P5" s="178"/>
      <c r="Q5" s="178"/>
      <c r="R5" s="178"/>
      <c r="S5" s="104"/>
      <c r="T5" s="441" t="s">
        <v>87</v>
      </c>
      <c r="U5" s="442"/>
    </row>
    <row r="6" spans="1:21" ht="24.75" customHeight="1">
      <c r="A6" s="443"/>
      <c r="B6" s="444"/>
      <c r="C6" s="175"/>
      <c r="D6" s="176" t="str">
        <f>NOM1</f>
        <v>GERARD</v>
      </c>
      <c r="E6" s="177"/>
      <c r="F6" s="178"/>
      <c r="G6" s="176" t="str">
        <f>NOM2</f>
        <v>GARDAIS</v>
      </c>
      <c r="H6" s="177"/>
      <c r="I6" s="178"/>
      <c r="J6" s="176" t="str">
        <f>NOM3</f>
        <v>CASIMIR</v>
      </c>
      <c r="K6" s="178"/>
      <c r="L6" s="176" t="str">
        <f>NOM4</f>
        <v>DUFFAUD</v>
      </c>
      <c r="M6" s="178"/>
      <c r="N6" s="178"/>
      <c r="O6" s="176" t="str">
        <f>NOM5</f>
        <v>LIS</v>
      </c>
      <c r="P6" s="178"/>
      <c r="Q6" s="178"/>
      <c r="R6" s="176" t="str">
        <f>NOM6</f>
        <v>REMY</v>
      </c>
      <c r="S6" s="104"/>
      <c r="T6" s="443"/>
      <c r="U6" s="444"/>
    </row>
    <row r="7" spans="1:43" ht="36" customHeight="1" thickBot="1">
      <c r="A7" s="445"/>
      <c r="B7" s="446"/>
      <c r="C7" s="179"/>
      <c r="D7" s="180"/>
      <c r="E7" s="181"/>
      <c r="F7" s="181"/>
      <c r="G7" s="181"/>
      <c r="H7" s="181"/>
      <c r="I7" s="181"/>
      <c r="J7" s="181"/>
      <c r="K7" s="181"/>
      <c r="L7" s="180"/>
      <c r="M7" s="180"/>
      <c r="N7" s="180"/>
      <c r="O7" s="180"/>
      <c r="P7" s="180"/>
      <c r="Q7" s="180"/>
      <c r="R7" s="180"/>
      <c r="S7" s="182"/>
      <c r="T7" s="445"/>
      <c r="U7" s="446"/>
      <c r="Y7" s="440" t="s">
        <v>73</v>
      </c>
      <c r="Z7" s="440"/>
      <c r="AA7" s="440"/>
      <c r="AB7" s="440"/>
      <c r="AC7" s="440"/>
      <c r="AD7" s="440"/>
      <c r="AE7" s="440"/>
      <c r="AF7" s="440"/>
      <c r="AG7" s="440"/>
      <c r="AH7" s="440" t="s">
        <v>89</v>
      </c>
      <c r="AI7" s="440"/>
      <c r="AJ7" s="440"/>
      <c r="AK7" s="440"/>
      <c r="AL7" s="440"/>
      <c r="AM7" s="440"/>
      <c r="AN7" s="440"/>
      <c r="AO7" s="440"/>
      <c r="AP7" s="440"/>
      <c r="AQ7" s="440"/>
    </row>
    <row r="8" spans="1:21" ht="37.5" customHeight="1">
      <c r="A8" s="361" t="s">
        <v>174</v>
      </c>
      <c r="B8" s="361" t="s">
        <v>174</v>
      </c>
      <c r="C8" s="361"/>
      <c r="D8" s="361"/>
      <c r="E8" s="361"/>
      <c r="F8" s="361"/>
      <c r="G8" s="361"/>
      <c r="H8" s="361"/>
      <c r="I8" s="361"/>
      <c r="J8" s="447" t="s">
        <v>176</v>
      </c>
      <c r="K8" s="447"/>
      <c r="L8" s="447"/>
      <c r="M8" s="361" t="s">
        <v>174</v>
      </c>
      <c r="N8" s="361"/>
      <c r="O8" s="361"/>
      <c r="P8" s="361"/>
      <c r="Q8" s="361"/>
      <c r="R8" s="361"/>
      <c r="S8" s="361"/>
      <c r="T8" s="361"/>
      <c r="U8" s="361"/>
    </row>
    <row r="9" spans="1:11" ht="1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43" ht="19.5" customHeight="1">
      <c r="A10" s="1"/>
      <c r="B10" s="33"/>
      <c r="C10" s="53" t="s">
        <v>43</v>
      </c>
      <c r="D10" s="34"/>
      <c r="E10" s="34"/>
      <c r="F10" s="53" t="s">
        <v>44</v>
      </c>
      <c r="G10" s="34"/>
      <c r="H10" s="35"/>
      <c r="I10" s="53" t="s">
        <v>66</v>
      </c>
      <c r="J10" s="36"/>
      <c r="K10" s="20" t="s">
        <v>40</v>
      </c>
      <c r="L10" s="33"/>
      <c r="M10" s="53" t="s">
        <v>43</v>
      </c>
      <c r="N10" s="34"/>
      <c r="O10" s="34"/>
      <c r="P10" s="53" t="s">
        <v>59</v>
      </c>
      <c r="Q10" s="34"/>
      <c r="R10" s="35"/>
      <c r="S10" s="53" t="s">
        <v>45</v>
      </c>
      <c r="T10" s="36"/>
      <c r="Y10" s="78" t="s">
        <v>20</v>
      </c>
      <c r="Z10" s="78" t="s">
        <v>67</v>
      </c>
      <c r="AA10" s="78" t="s">
        <v>68</v>
      </c>
      <c r="AB10" s="78" t="s">
        <v>7</v>
      </c>
      <c r="AC10" s="78" t="s">
        <v>69</v>
      </c>
      <c r="AD10" s="78" t="s">
        <v>8</v>
      </c>
      <c r="AE10" s="78" t="s">
        <v>70</v>
      </c>
      <c r="AF10" s="78" t="s">
        <v>71</v>
      </c>
      <c r="AG10" s="104" t="s">
        <v>20</v>
      </c>
      <c r="AH10" s="100" t="s">
        <v>72</v>
      </c>
      <c r="AI10" s="78" t="s">
        <v>20</v>
      </c>
      <c r="AJ10" s="78" t="s">
        <v>67</v>
      </c>
      <c r="AK10" s="78" t="s">
        <v>68</v>
      </c>
      <c r="AL10" s="78" t="s">
        <v>7</v>
      </c>
      <c r="AM10" s="78" t="s">
        <v>69</v>
      </c>
      <c r="AN10" s="78" t="s">
        <v>8</v>
      </c>
      <c r="AO10" s="78" t="s">
        <v>70</v>
      </c>
      <c r="AP10" s="78" t="s">
        <v>71</v>
      </c>
      <c r="AQ10" s="78" t="s">
        <v>20</v>
      </c>
    </row>
    <row r="11" spans="1:43" ht="27.75" customHeight="1">
      <c r="A11" s="88">
        <v>1</v>
      </c>
      <c r="B11" s="435" t="str">
        <f>[0]!NOM3</f>
        <v>CASIMIR</v>
      </c>
      <c r="C11" s="436"/>
      <c r="D11" s="436"/>
      <c r="E11" s="436"/>
      <c r="F11" s="57"/>
      <c r="G11" s="437" t="str">
        <f>[0]!NOM4</f>
        <v>DUFFAUD</v>
      </c>
      <c r="H11" s="437"/>
      <c r="I11" s="437"/>
      <c r="J11" s="438"/>
      <c r="K11" s="19" t="str">
        <f>[0]!NOM1</f>
        <v>GERARD</v>
      </c>
      <c r="L11" s="429" t="str">
        <f>[0]!NOM2</f>
        <v>GARDAIS</v>
      </c>
      <c r="M11" s="430"/>
      <c r="N11" s="430"/>
      <c r="O11" s="431"/>
      <c r="P11" s="18"/>
      <c r="Q11" s="429" t="str">
        <f>[0]!NOM5</f>
        <v>LIS</v>
      </c>
      <c r="R11" s="430"/>
      <c r="S11" s="430"/>
      <c r="T11" s="431"/>
      <c r="U11">
        <v>2</v>
      </c>
      <c r="Y11" s="79">
        <f>VLOOKUP(AA11,init6,6,FALSE)</f>
        <v>3</v>
      </c>
      <c r="Z11" s="80">
        <f>A$11</f>
        <v>1</v>
      </c>
      <c r="AA11" s="81" t="str">
        <f>$B$11</f>
        <v>CASIMIR</v>
      </c>
      <c r="AB11" s="80">
        <f>$B$13</f>
        <v>69</v>
      </c>
      <c r="AC11" s="80">
        <f>$F$13</f>
        <v>48</v>
      </c>
      <c r="AD11" s="80">
        <f>$D$13</f>
        <v>4</v>
      </c>
      <c r="AE11" s="82">
        <f>$E$13</f>
        <v>0</v>
      </c>
      <c r="AF11" s="81" t="str">
        <f>$G$11</f>
        <v>DUFFAUD</v>
      </c>
      <c r="AG11" s="105">
        <f>VLOOKUP(AF11,init6,6,FALSE)</f>
        <v>4</v>
      </c>
      <c r="AH11" s="101" t="str">
        <f>AI11&amp;1</f>
        <v>11</v>
      </c>
      <c r="AI11" s="92">
        <f aca="true" t="shared" si="0" ref="AI11:AI40">VLOOKUP(AK11,init6,6,FALSE)</f>
        <v>1</v>
      </c>
      <c r="AJ11" s="93">
        <f>$U$18</f>
        <v>4</v>
      </c>
      <c r="AK11" s="94" t="str">
        <f>$L$18</f>
        <v>GERARD</v>
      </c>
      <c r="AL11" s="93">
        <f>$L$20</f>
        <v>80</v>
      </c>
      <c r="AM11" s="93">
        <f>$P$20</f>
        <v>33</v>
      </c>
      <c r="AN11" s="93">
        <f>$N$20</f>
        <v>17</v>
      </c>
      <c r="AO11" s="95">
        <f>$O$20</f>
        <v>2</v>
      </c>
      <c r="AP11" s="94" t="str">
        <f>$Q$18</f>
        <v>REMY</v>
      </c>
      <c r="AQ11" s="92">
        <f aca="true" t="shared" si="1" ref="AQ11:AQ40">VLOOKUP(AP11,init6,6,FALSE)</f>
        <v>6</v>
      </c>
    </row>
    <row r="12" spans="1:43" ht="18" customHeight="1">
      <c r="A12" s="1"/>
      <c r="B12" s="8" t="s">
        <v>7</v>
      </c>
      <c r="C12" s="9" t="s">
        <v>6</v>
      </c>
      <c r="D12" s="10" t="s">
        <v>8</v>
      </c>
      <c r="E12" s="10" t="s">
        <v>9</v>
      </c>
      <c r="F12" s="13" t="s">
        <v>10</v>
      </c>
      <c r="G12" s="10" t="s">
        <v>7</v>
      </c>
      <c r="H12" s="9" t="s">
        <v>6</v>
      </c>
      <c r="I12" s="10" t="s">
        <v>8</v>
      </c>
      <c r="J12" s="11" t="s">
        <v>9</v>
      </c>
      <c r="K12" s="19" t="str">
        <f>[0]!NOM6</f>
        <v>REMY</v>
      </c>
      <c r="L12" s="8" t="s">
        <v>7</v>
      </c>
      <c r="M12" s="15" t="s">
        <v>6</v>
      </c>
      <c r="N12" s="10" t="s">
        <v>8</v>
      </c>
      <c r="O12" s="11" t="s">
        <v>9</v>
      </c>
      <c r="P12" s="14" t="s">
        <v>10</v>
      </c>
      <c r="Q12" s="8" t="s">
        <v>7</v>
      </c>
      <c r="R12" s="15" t="s">
        <v>6</v>
      </c>
      <c r="S12" s="10" t="s">
        <v>8</v>
      </c>
      <c r="T12" s="11" t="s">
        <v>9</v>
      </c>
      <c r="Y12" s="79">
        <f aca="true" t="shared" si="2" ref="Y12:Y40">VLOOKUP(AA12,init6,6,FALSE)</f>
        <v>2</v>
      </c>
      <c r="Z12" s="80">
        <f>U$11</f>
        <v>2</v>
      </c>
      <c r="AA12" s="81" t="str">
        <f>$L$11</f>
        <v>GARDAIS</v>
      </c>
      <c r="AB12" s="80">
        <f>$L$13</f>
        <v>48</v>
      </c>
      <c r="AC12" s="80">
        <f>$P$13</f>
        <v>41</v>
      </c>
      <c r="AD12" s="80">
        <f>$N$13</f>
        <v>5</v>
      </c>
      <c r="AE12" s="82">
        <f>$O$13</f>
        <v>0</v>
      </c>
      <c r="AF12" s="81" t="str">
        <f>$Q$11</f>
        <v>LIS</v>
      </c>
      <c r="AG12" s="105">
        <f aca="true" t="shared" si="3" ref="AG12:AG40">VLOOKUP(AF12,init6,6,FALSE)</f>
        <v>5</v>
      </c>
      <c r="AH12" s="102" t="str">
        <f>AI12&amp;2</f>
        <v>12</v>
      </c>
      <c r="AI12" s="83">
        <f t="shared" si="0"/>
        <v>1</v>
      </c>
      <c r="AJ12" s="85">
        <f>$A$25</f>
        <v>5</v>
      </c>
      <c r="AK12" s="86" t="str">
        <f>$B$25</f>
        <v>GERARD</v>
      </c>
      <c r="AL12" s="85">
        <f>$B$27</f>
        <v>80</v>
      </c>
      <c r="AM12" s="85">
        <f>$F$27</f>
        <v>25</v>
      </c>
      <c r="AN12" s="85">
        <f>$D$27</f>
        <v>20</v>
      </c>
      <c r="AO12" s="87">
        <f>$E$27</f>
        <v>2</v>
      </c>
      <c r="AP12" s="86" t="str">
        <f>$G$25</f>
        <v>LIS</v>
      </c>
      <c r="AQ12" s="83">
        <f t="shared" si="1"/>
        <v>5</v>
      </c>
    </row>
    <row r="13" spans="1:43" ht="26.25" customHeight="1" thickBot="1">
      <c r="A13" s="1"/>
      <c r="B13" s="354">
        <v>69</v>
      </c>
      <c r="C13" s="402">
        <f>IF(F13=0,"",B13/F13)</f>
        <v>1.4375</v>
      </c>
      <c r="D13" s="355">
        <v>4</v>
      </c>
      <c r="E13" s="356">
        <f>IF(F13=0,"",IF(B13&gt;G13,2,IF(B13=G13,1,0)))</f>
        <v>0</v>
      </c>
      <c r="F13" s="58">
        <v>48</v>
      </c>
      <c r="G13" s="354">
        <v>80</v>
      </c>
      <c r="H13" s="402">
        <f>IF(F13=0,"",G13/F13)</f>
        <v>1.6666666666666667</v>
      </c>
      <c r="I13" s="355">
        <v>8</v>
      </c>
      <c r="J13" s="356">
        <f>IF(F13=0,"",IF(G13&gt;B13,2,IF(G13=B13,1,0)))</f>
        <v>2</v>
      </c>
      <c r="K13" s="6"/>
      <c r="L13" s="354">
        <v>48</v>
      </c>
      <c r="M13" s="402">
        <f>IF(P13=0,"",L13/P13)</f>
        <v>1.170731707317073</v>
      </c>
      <c r="N13" s="355">
        <v>5</v>
      </c>
      <c r="O13" s="356">
        <f>IF(P13=0,"",IF(L13&gt;Q13,2,IF(L13=Q13,1,0)))</f>
        <v>0</v>
      </c>
      <c r="P13" s="58">
        <v>41</v>
      </c>
      <c r="Q13" s="354">
        <v>80</v>
      </c>
      <c r="R13" s="402">
        <f>IF(P13=0,"",Q13/P13)</f>
        <v>1.951219512195122</v>
      </c>
      <c r="S13" s="355">
        <v>11</v>
      </c>
      <c r="T13" s="356">
        <f>IF(P13=0,"",IF(Q13&gt;L13,2,IF(Q13=L13,1,0)))</f>
        <v>2</v>
      </c>
      <c r="Y13" s="79">
        <f t="shared" si="2"/>
        <v>2</v>
      </c>
      <c r="Z13" s="80">
        <f>A$18</f>
        <v>3</v>
      </c>
      <c r="AA13" s="81" t="str">
        <f>$B$18</f>
        <v>GARDAIS</v>
      </c>
      <c r="AB13" s="80">
        <f>$B$20</f>
        <v>68</v>
      </c>
      <c r="AC13" s="80">
        <f>$F$20</f>
        <v>38</v>
      </c>
      <c r="AD13" s="80">
        <f>$D$20</f>
        <v>11</v>
      </c>
      <c r="AE13" s="82">
        <f>$E$20</f>
        <v>0</v>
      </c>
      <c r="AF13" s="81" t="str">
        <f>$G$18</f>
        <v>CASIMIR</v>
      </c>
      <c r="AG13" s="105">
        <f t="shared" si="3"/>
        <v>3</v>
      </c>
      <c r="AH13" s="102" t="str">
        <f>AI13&amp;3</f>
        <v>13</v>
      </c>
      <c r="AI13" s="83">
        <f t="shared" si="0"/>
        <v>1</v>
      </c>
      <c r="AJ13" s="85">
        <f>$A$39</f>
        <v>9</v>
      </c>
      <c r="AK13" s="86" t="str">
        <f>$B$39</f>
        <v>GERARD</v>
      </c>
      <c r="AL13" s="85">
        <f>$B$41</f>
        <v>80</v>
      </c>
      <c r="AM13" s="85">
        <f>$F$41</f>
        <v>32</v>
      </c>
      <c r="AN13" s="85">
        <f>$D$41</f>
        <v>13</v>
      </c>
      <c r="AO13" s="87">
        <f>$E$41</f>
        <v>2</v>
      </c>
      <c r="AP13" s="86" t="str">
        <f>$G$39</f>
        <v>DUFFAUD</v>
      </c>
      <c r="AQ13" s="83">
        <f t="shared" si="1"/>
        <v>4</v>
      </c>
    </row>
    <row r="14" spans="1:43" ht="23.25" customHeight="1" thickBot="1">
      <c r="A14" s="1"/>
      <c r="B14" s="6"/>
      <c r="C14" s="7"/>
      <c r="D14" s="6"/>
      <c r="E14" s="6"/>
      <c r="F14" s="18"/>
      <c r="G14" s="6"/>
      <c r="H14" s="7"/>
      <c r="I14" s="6"/>
      <c r="J14" s="6"/>
      <c r="K14" s="1"/>
      <c r="P14" s="54"/>
      <c r="Y14" s="79">
        <f t="shared" si="2"/>
        <v>1</v>
      </c>
      <c r="Z14" s="80">
        <f>U$18</f>
        <v>4</v>
      </c>
      <c r="AA14" s="81" t="str">
        <f>$L$18</f>
        <v>GERARD</v>
      </c>
      <c r="AB14" s="80">
        <f>$L$20</f>
        <v>80</v>
      </c>
      <c r="AC14" s="80">
        <f>$P$20</f>
        <v>33</v>
      </c>
      <c r="AD14" s="80">
        <f>$N$20</f>
        <v>17</v>
      </c>
      <c r="AE14" s="82">
        <f>$O$20</f>
        <v>2</v>
      </c>
      <c r="AF14" s="81" t="str">
        <f>$Q$18</f>
        <v>REMY</v>
      </c>
      <c r="AG14" s="105">
        <f t="shared" si="3"/>
        <v>6</v>
      </c>
      <c r="AH14" s="102" t="str">
        <f>AI14&amp;4</f>
        <v>14</v>
      </c>
      <c r="AI14" s="83">
        <f t="shared" si="0"/>
        <v>1</v>
      </c>
      <c r="AJ14" s="85">
        <f>$A$47</f>
        <v>11</v>
      </c>
      <c r="AK14" s="86" t="str">
        <f>$B$47</f>
        <v>GERARD</v>
      </c>
      <c r="AL14" s="85">
        <f>$B$49</f>
        <v>80</v>
      </c>
      <c r="AM14" s="85">
        <f>$F$49</f>
        <v>35</v>
      </c>
      <c r="AN14" s="85">
        <f>$D$49</f>
        <v>13</v>
      </c>
      <c r="AO14" s="87">
        <f>$E$49</f>
        <v>2</v>
      </c>
      <c r="AP14" s="86" t="str">
        <f>$G$47</f>
        <v>CASIMIR</v>
      </c>
      <c r="AQ14" s="83">
        <f t="shared" si="1"/>
        <v>3</v>
      </c>
    </row>
    <row r="15" spans="1:43" ht="38.25" customHeight="1" thickTop="1">
      <c r="A15" s="21"/>
      <c r="B15" s="22"/>
      <c r="C15" s="22"/>
      <c r="D15" s="22"/>
      <c r="E15" s="22"/>
      <c r="F15" s="55"/>
      <c r="G15" s="22"/>
      <c r="H15" s="22"/>
      <c r="I15" s="22"/>
      <c r="J15" s="439" t="s">
        <v>36</v>
      </c>
      <c r="K15" s="439"/>
      <c r="L15" s="439"/>
      <c r="M15" s="22"/>
      <c r="N15" s="22"/>
      <c r="O15" s="22"/>
      <c r="P15" s="55"/>
      <c r="Q15" s="22"/>
      <c r="R15" s="22"/>
      <c r="S15" s="22"/>
      <c r="T15" s="22"/>
      <c r="U15" s="22"/>
      <c r="Y15" s="79">
        <f t="shared" si="2"/>
        <v>1</v>
      </c>
      <c r="Z15" s="80">
        <f>A$25</f>
        <v>5</v>
      </c>
      <c r="AA15" s="81" t="str">
        <f>$B$25</f>
        <v>GERARD</v>
      </c>
      <c r="AB15" s="80">
        <f>$B$27</f>
        <v>80</v>
      </c>
      <c r="AC15" s="80">
        <f>$F$27</f>
        <v>25</v>
      </c>
      <c r="AD15" s="80">
        <f>$D$27</f>
        <v>20</v>
      </c>
      <c r="AE15" s="82">
        <f>$E$27</f>
        <v>2</v>
      </c>
      <c r="AF15" s="81" t="str">
        <f>$G$25</f>
        <v>LIS</v>
      </c>
      <c r="AG15" s="105">
        <f t="shared" si="3"/>
        <v>5</v>
      </c>
      <c r="AH15" s="103" t="str">
        <f>AI15&amp;5</f>
        <v>15</v>
      </c>
      <c r="AI15" s="96">
        <f t="shared" si="0"/>
        <v>1</v>
      </c>
      <c r="AJ15" s="85">
        <f>$U$61</f>
        <v>15</v>
      </c>
      <c r="AK15" s="98" t="str">
        <f>$L$61</f>
        <v>GERARD</v>
      </c>
      <c r="AL15" s="97">
        <f>$L$63</f>
        <v>80</v>
      </c>
      <c r="AM15" s="97">
        <f>$P$63</f>
        <v>19</v>
      </c>
      <c r="AN15" s="97">
        <f>$N$63</f>
        <v>17</v>
      </c>
      <c r="AO15" s="99">
        <f>$O$63</f>
        <v>2</v>
      </c>
      <c r="AP15" s="98" t="str">
        <f>$Q$61</f>
        <v>GARDAIS</v>
      </c>
      <c r="AQ15" s="96">
        <f t="shared" si="1"/>
        <v>2</v>
      </c>
    </row>
    <row r="16" spans="1:43" ht="21.75" customHeight="1" thickBot="1">
      <c r="A16" s="1"/>
      <c r="F16" s="54"/>
      <c r="P16" s="54"/>
      <c r="Y16" s="79">
        <f t="shared" si="2"/>
        <v>6</v>
      </c>
      <c r="Z16" s="80">
        <f>U$25</f>
        <v>6</v>
      </c>
      <c r="AA16" s="81" t="str">
        <f>$L$25</f>
        <v>REMY</v>
      </c>
      <c r="AB16" s="80">
        <f>$L$27</f>
        <v>80</v>
      </c>
      <c r="AC16" s="80">
        <f>$P$27</f>
        <v>34</v>
      </c>
      <c r="AD16" s="80">
        <f>$N$27</f>
        <v>15</v>
      </c>
      <c r="AE16" s="82">
        <f>$O$27</f>
        <v>2</v>
      </c>
      <c r="AF16" s="81" t="str">
        <f>$Q$25</f>
        <v>DUFFAUD</v>
      </c>
      <c r="AG16" s="105">
        <f t="shared" si="3"/>
        <v>4</v>
      </c>
      <c r="AH16" s="101" t="str">
        <f>AI16&amp;1</f>
        <v>21</v>
      </c>
      <c r="AI16" s="92">
        <f t="shared" si="0"/>
        <v>2</v>
      </c>
      <c r="AJ16" s="93">
        <f>$U$11</f>
        <v>2</v>
      </c>
      <c r="AK16" s="94" t="str">
        <f>$L$11</f>
        <v>GARDAIS</v>
      </c>
      <c r="AL16" s="93">
        <f>$L$13</f>
        <v>48</v>
      </c>
      <c r="AM16" s="93">
        <f>$P$13</f>
        <v>41</v>
      </c>
      <c r="AN16" s="93">
        <f>$N$13</f>
        <v>5</v>
      </c>
      <c r="AO16" s="95">
        <f>$O$13</f>
        <v>0</v>
      </c>
      <c r="AP16" s="94" t="str">
        <f>$Q$11</f>
        <v>LIS</v>
      </c>
      <c r="AQ16" s="92">
        <f t="shared" si="1"/>
        <v>5</v>
      </c>
    </row>
    <row r="17" spans="1:43" ht="18" customHeight="1">
      <c r="A17" s="1"/>
      <c r="B17" s="37"/>
      <c r="C17" s="52" t="s">
        <v>65</v>
      </c>
      <c r="D17" s="38"/>
      <c r="E17" s="38"/>
      <c r="F17" s="68" t="s">
        <v>46</v>
      </c>
      <c r="G17" s="69"/>
      <c r="H17" s="70"/>
      <c r="I17" s="68" t="s">
        <v>66</v>
      </c>
      <c r="J17" s="71"/>
      <c r="K17" s="20" t="s">
        <v>40</v>
      </c>
      <c r="L17" s="33"/>
      <c r="M17" s="53" t="s">
        <v>43</v>
      </c>
      <c r="N17" s="34"/>
      <c r="O17" s="34"/>
      <c r="P17" s="53" t="s">
        <v>58</v>
      </c>
      <c r="Q17" s="34"/>
      <c r="R17" s="35"/>
      <c r="S17" s="53" t="s">
        <v>45</v>
      </c>
      <c r="T17" s="36"/>
      <c r="Y17" s="79">
        <f t="shared" si="2"/>
        <v>2</v>
      </c>
      <c r="Z17" s="80">
        <f>A$32</f>
        <v>7</v>
      </c>
      <c r="AA17" s="81" t="str">
        <f>$B$32</f>
        <v>GARDAIS</v>
      </c>
      <c r="AB17" s="80">
        <f>$B$34</f>
        <v>73</v>
      </c>
      <c r="AC17" s="80">
        <f>$F$34</f>
        <v>34</v>
      </c>
      <c r="AD17" s="80">
        <f>$D$34</f>
        <v>8</v>
      </c>
      <c r="AE17" s="82">
        <f>$E$34</f>
        <v>0</v>
      </c>
      <c r="AF17" s="81" t="str">
        <f>$G$32</f>
        <v>REMY</v>
      </c>
      <c r="AG17" s="105">
        <f t="shared" si="3"/>
        <v>6</v>
      </c>
      <c r="AH17" s="102" t="str">
        <f>AI17&amp;2</f>
        <v>22</v>
      </c>
      <c r="AI17" s="83">
        <f t="shared" si="0"/>
        <v>2</v>
      </c>
      <c r="AJ17" s="85">
        <f>$A$18</f>
        <v>3</v>
      </c>
      <c r="AK17" s="86" t="str">
        <f>$B$18</f>
        <v>GARDAIS</v>
      </c>
      <c r="AL17" s="85">
        <f>$B$20</f>
        <v>68</v>
      </c>
      <c r="AM17" s="85">
        <f>$F$20</f>
        <v>38</v>
      </c>
      <c r="AN17" s="85">
        <f>$D$20</f>
        <v>11</v>
      </c>
      <c r="AO17" s="87">
        <f>$E$20</f>
        <v>0</v>
      </c>
      <c r="AP17" s="86" t="str">
        <f>$G$18</f>
        <v>CASIMIR</v>
      </c>
      <c r="AQ17" s="83">
        <f t="shared" si="1"/>
        <v>3</v>
      </c>
    </row>
    <row r="18" spans="1:43" ht="27.75" customHeight="1">
      <c r="A18" s="88">
        <v>3</v>
      </c>
      <c r="B18" s="429" t="str">
        <f>[0]!NOM2</f>
        <v>GARDAIS</v>
      </c>
      <c r="C18" s="430"/>
      <c r="D18" s="430"/>
      <c r="E18" s="431"/>
      <c r="F18" s="18"/>
      <c r="G18" s="429" t="str">
        <f>[0]!NOM3</f>
        <v>CASIMIR</v>
      </c>
      <c r="H18" s="430"/>
      <c r="I18" s="430"/>
      <c r="J18" s="431"/>
      <c r="K18" s="19" t="str">
        <f>[0]!NOM4</f>
        <v>DUFFAUD</v>
      </c>
      <c r="L18" s="429" t="str">
        <f>[0]!NOM1</f>
        <v>GERARD</v>
      </c>
      <c r="M18" s="430"/>
      <c r="N18" s="430"/>
      <c r="O18" s="431"/>
      <c r="P18" s="56"/>
      <c r="Q18" s="432" t="str">
        <f>[0]!NOM6</f>
        <v>REMY</v>
      </c>
      <c r="R18" s="433"/>
      <c r="S18" s="433"/>
      <c r="T18" s="434"/>
      <c r="U18">
        <v>4</v>
      </c>
      <c r="Y18" s="79">
        <f t="shared" si="2"/>
        <v>3</v>
      </c>
      <c r="Z18" s="80">
        <f>U$32</f>
        <v>8</v>
      </c>
      <c r="AA18" s="81" t="str">
        <f>$L$32</f>
        <v>CASIMIR</v>
      </c>
      <c r="AB18" s="80">
        <f>$L$34</f>
        <v>69</v>
      </c>
      <c r="AC18" s="80">
        <f>$P$34</f>
        <v>45</v>
      </c>
      <c r="AD18" s="80">
        <f>$N$34</f>
        <v>11</v>
      </c>
      <c r="AE18" s="82">
        <f>$O$34</f>
        <v>0</v>
      </c>
      <c r="AF18" s="81" t="str">
        <f>$Q$32</f>
        <v>LIS</v>
      </c>
      <c r="AG18" s="105">
        <f t="shared" si="3"/>
        <v>5</v>
      </c>
      <c r="AH18" s="102" t="str">
        <f>AI18&amp;3</f>
        <v>23</v>
      </c>
      <c r="AI18" s="83">
        <f t="shared" si="0"/>
        <v>2</v>
      </c>
      <c r="AJ18" s="85">
        <f>$A$32</f>
        <v>7</v>
      </c>
      <c r="AK18" s="86" t="str">
        <f>$B$32</f>
        <v>GARDAIS</v>
      </c>
      <c r="AL18" s="85">
        <f>$B$34</f>
        <v>73</v>
      </c>
      <c r="AM18" s="85">
        <f>$F$34</f>
        <v>34</v>
      </c>
      <c r="AN18" s="85">
        <f>$D$34</f>
        <v>8</v>
      </c>
      <c r="AO18" s="87">
        <f>$E$34</f>
        <v>0</v>
      </c>
      <c r="AP18" s="86" t="str">
        <f>$G$32</f>
        <v>REMY</v>
      </c>
      <c r="AQ18" s="83">
        <f t="shared" si="1"/>
        <v>6</v>
      </c>
    </row>
    <row r="19" spans="1:43" ht="17.25" customHeight="1">
      <c r="A19" s="1"/>
      <c r="B19" s="8" t="s">
        <v>7</v>
      </c>
      <c r="C19" s="15" t="s">
        <v>6</v>
      </c>
      <c r="D19" s="10" t="s">
        <v>8</v>
      </c>
      <c r="E19" s="11" t="s">
        <v>9</v>
      </c>
      <c r="F19" s="14" t="s">
        <v>10</v>
      </c>
      <c r="G19" s="8" t="s">
        <v>7</v>
      </c>
      <c r="H19" s="15" t="s">
        <v>6</v>
      </c>
      <c r="I19" s="10" t="s">
        <v>8</v>
      </c>
      <c r="J19" s="11" t="s">
        <v>9</v>
      </c>
      <c r="K19" s="19" t="str">
        <f>[0]!NOM5</f>
        <v>LIS</v>
      </c>
      <c r="L19" s="8" t="s">
        <v>7</v>
      </c>
      <c r="M19" s="15" t="s">
        <v>6</v>
      </c>
      <c r="N19" s="10" t="s">
        <v>8</v>
      </c>
      <c r="O19" s="10" t="s">
        <v>9</v>
      </c>
      <c r="P19" s="13" t="s">
        <v>10</v>
      </c>
      <c r="Q19" s="10" t="s">
        <v>7</v>
      </c>
      <c r="R19" s="15" t="s">
        <v>6</v>
      </c>
      <c r="S19" s="10" t="s">
        <v>8</v>
      </c>
      <c r="T19" s="11" t="s">
        <v>9</v>
      </c>
      <c r="Y19" s="79">
        <f t="shared" si="2"/>
        <v>1</v>
      </c>
      <c r="Z19" s="80">
        <f>A$39</f>
        <v>9</v>
      </c>
      <c r="AA19" s="81" t="str">
        <f>$B$39</f>
        <v>GERARD</v>
      </c>
      <c r="AB19" s="80">
        <f>$B$41</f>
        <v>80</v>
      </c>
      <c r="AC19" s="80">
        <f>$F$41</f>
        <v>32</v>
      </c>
      <c r="AD19" s="80">
        <f>$D$41</f>
        <v>13</v>
      </c>
      <c r="AE19" s="82">
        <f>$E$41</f>
        <v>2</v>
      </c>
      <c r="AF19" s="81" t="str">
        <f>$G$39</f>
        <v>DUFFAUD</v>
      </c>
      <c r="AG19" s="105">
        <f t="shared" si="3"/>
        <v>4</v>
      </c>
      <c r="AH19" s="102" t="str">
        <f>AI19&amp;4</f>
        <v>24</v>
      </c>
      <c r="AI19" s="83">
        <f t="shared" si="0"/>
        <v>2</v>
      </c>
      <c r="AJ19" s="85">
        <f>$U$47</f>
        <v>12</v>
      </c>
      <c r="AK19" s="86" t="str">
        <f>$L$47</f>
        <v>GARDAIS</v>
      </c>
      <c r="AL19" s="85">
        <f>$L$49</f>
        <v>80</v>
      </c>
      <c r="AM19" s="85">
        <f>$P$49</f>
        <v>39</v>
      </c>
      <c r="AN19" s="85">
        <f>$N$49</f>
        <v>10</v>
      </c>
      <c r="AO19" s="87">
        <f>$O$49</f>
        <v>2</v>
      </c>
      <c r="AP19" s="86" t="str">
        <f>$Q$47</f>
        <v>DUFFAUD</v>
      </c>
      <c r="AQ19" s="83">
        <f t="shared" si="1"/>
        <v>4</v>
      </c>
    </row>
    <row r="20" spans="1:43" ht="27" customHeight="1" thickBot="1">
      <c r="A20" s="17"/>
      <c r="B20" s="354">
        <v>68</v>
      </c>
      <c r="C20" s="402">
        <f>IF(F20=0,"",B20/F20)</f>
        <v>1.7894736842105263</v>
      </c>
      <c r="D20" s="355">
        <v>11</v>
      </c>
      <c r="E20" s="356">
        <f>IF(F20=0,"",IF(B20&gt;G20,2,IF(B20=G20,1,0)))</f>
        <v>0</v>
      </c>
      <c r="F20" s="58">
        <v>38</v>
      </c>
      <c r="G20" s="354">
        <v>80</v>
      </c>
      <c r="H20" s="402">
        <f>IF(F20=0,"",G20/F20)</f>
        <v>2.1052631578947367</v>
      </c>
      <c r="I20" s="355">
        <v>12</v>
      </c>
      <c r="J20" s="356">
        <f>IF(F20=0,"",IF(G20&gt;B20,2,IF(G20=B20,1,0)))</f>
        <v>2</v>
      </c>
      <c r="K20" s="6"/>
      <c r="L20" s="354">
        <v>80</v>
      </c>
      <c r="M20" s="402">
        <f>IF(P20=0,"",L20/P20)</f>
        <v>2.4242424242424243</v>
      </c>
      <c r="N20" s="355">
        <v>17</v>
      </c>
      <c r="O20" s="356">
        <f>IF(P20=0,"",IF(L20&gt;Q20,2,IF(L20=Q20,1,0)))</f>
        <v>2</v>
      </c>
      <c r="P20" s="58">
        <v>33</v>
      </c>
      <c r="Q20" s="354">
        <v>62</v>
      </c>
      <c r="R20" s="402">
        <f>IF(P20=0,"",Q20/P20)</f>
        <v>1.878787878787879</v>
      </c>
      <c r="S20" s="355">
        <v>8</v>
      </c>
      <c r="T20" s="356">
        <f>IF(P20=0,"",IF(Q20&gt;L20,2,IF(Q20=L20,1,0)))</f>
        <v>0</v>
      </c>
      <c r="Y20" s="79">
        <f t="shared" si="2"/>
        <v>5</v>
      </c>
      <c r="Z20" s="80">
        <f>U$39</f>
        <v>10</v>
      </c>
      <c r="AA20" s="81" t="str">
        <f>$L$39</f>
        <v>LIS</v>
      </c>
      <c r="AB20" s="80">
        <f>$L$41</f>
        <v>80</v>
      </c>
      <c r="AC20" s="80">
        <f>$P$41</f>
        <v>39</v>
      </c>
      <c r="AD20" s="80">
        <f>$N$41</f>
        <v>11</v>
      </c>
      <c r="AE20" s="82">
        <f>$O$41</f>
        <v>2</v>
      </c>
      <c r="AF20" s="81" t="str">
        <f>$Q$39</f>
        <v>REMY</v>
      </c>
      <c r="AG20" s="105">
        <f t="shared" si="3"/>
        <v>6</v>
      </c>
      <c r="AH20" s="103" t="str">
        <f>AI20&amp;5</f>
        <v>25</v>
      </c>
      <c r="AI20" s="96">
        <f t="shared" si="0"/>
        <v>2</v>
      </c>
      <c r="AJ20" s="85">
        <f>$U$61</f>
        <v>15</v>
      </c>
      <c r="AK20" s="98" t="str">
        <f>$Q$61</f>
        <v>GARDAIS</v>
      </c>
      <c r="AL20" s="97">
        <f>$Q$63</f>
        <v>23</v>
      </c>
      <c r="AM20" s="97">
        <f>$P$63</f>
        <v>19</v>
      </c>
      <c r="AN20" s="97">
        <f>$S$63</f>
        <v>5</v>
      </c>
      <c r="AO20" s="99">
        <f>$T$63</f>
        <v>0</v>
      </c>
      <c r="AP20" s="98" t="str">
        <f>$L$61</f>
        <v>GERARD</v>
      </c>
      <c r="AQ20" s="96">
        <f t="shared" si="1"/>
        <v>1</v>
      </c>
    </row>
    <row r="21" spans="1:43" ht="22.5" customHeight="1" thickBot="1">
      <c r="A21" s="6"/>
      <c r="B21" s="6"/>
      <c r="C21" s="7"/>
      <c r="D21" s="6"/>
      <c r="E21" s="6"/>
      <c r="F21" s="18"/>
      <c r="G21" s="6"/>
      <c r="H21" s="7"/>
      <c r="I21" s="6"/>
      <c r="J21" s="6"/>
      <c r="K21" s="1"/>
      <c r="P21" s="54"/>
      <c r="Y21" s="79">
        <f t="shared" si="2"/>
        <v>1</v>
      </c>
      <c r="Z21" s="80">
        <f>A$47</f>
        <v>11</v>
      </c>
      <c r="AA21" s="81" t="str">
        <f>$B$47</f>
        <v>GERARD</v>
      </c>
      <c r="AB21" s="80">
        <f>$B$49</f>
        <v>80</v>
      </c>
      <c r="AC21" s="80">
        <f>$F$49</f>
        <v>35</v>
      </c>
      <c r="AD21" s="80">
        <f>$D$49</f>
        <v>13</v>
      </c>
      <c r="AE21" s="82">
        <f>$E$49</f>
        <v>2</v>
      </c>
      <c r="AF21" s="81" t="str">
        <f>$G$47</f>
        <v>CASIMIR</v>
      </c>
      <c r="AG21" s="105">
        <f t="shared" si="3"/>
        <v>3</v>
      </c>
      <c r="AH21" s="101" t="str">
        <f>AI21&amp;1</f>
        <v>31</v>
      </c>
      <c r="AI21" s="92">
        <f t="shared" si="0"/>
        <v>3</v>
      </c>
      <c r="AJ21" s="93">
        <f>$A$11</f>
        <v>1</v>
      </c>
      <c r="AK21" s="94" t="str">
        <f>$B$11</f>
        <v>CASIMIR</v>
      </c>
      <c r="AL21" s="93">
        <f>$B$13</f>
        <v>69</v>
      </c>
      <c r="AM21" s="93">
        <f>$F$13</f>
        <v>48</v>
      </c>
      <c r="AN21" s="93">
        <f>$D$13</f>
        <v>4</v>
      </c>
      <c r="AO21" s="95">
        <f>$E$13</f>
        <v>0</v>
      </c>
      <c r="AP21" s="94" t="str">
        <f>$G$11</f>
        <v>DUFFAUD</v>
      </c>
      <c r="AQ21" s="92">
        <f t="shared" si="1"/>
        <v>4</v>
      </c>
    </row>
    <row r="22" spans="1:43" ht="38.25" customHeight="1" thickTop="1">
      <c r="A22" s="21"/>
      <c r="B22" s="22"/>
      <c r="C22" s="22"/>
      <c r="D22" s="22"/>
      <c r="E22" s="22"/>
      <c r="F22" s="55"/>
      <c r="G22" s="22"/>
      <c r="H22" s="22"/>
      <c r="I22" s="22"/>
      <c r="J22" s="439" t="s">
        <v>39</v>
      </c>
      <c r="K22" s="439"/>
      <c r="L22" s="439"/>
      <c r="M22" s="22"/>
      <c r="N22" s="22"/>
      <c r="O22" s="22"/>
      <c r="P22" s="55"/>
      <c r="Q22" s="22"/>
      <c r="R22" s="22"/>
      <c r="S22" s="22"/>
      <c r="T22" s="22"/>
      <c r="U22" s="22"/>
      <c r="Y22" s="79">
        <f t="shared" si="2"/>
        <v>2</v>
      </c>
      <c r="Z22" s="80">
        <f>U$47</f>
        <v>12</v>
      </c>
      <c r="AA22" s="81" t="str">
        <f>$L$47</f>
        <v>GARDAIS</v>
      </c>
      <c r="AB22" s="80">
        <f>$L$49</f>
        <v>80</v>
      </c>
      <c r="AC22" s="80">
        <f>$P$49</f>
        <v>39</v>
      </c>
      <c r="AD22" s="80">
        <f>$N$49</f>
        <v>10</v>
      </c>
      <c r="AE22" s="82">
        <f>$O$49</f>
        <v>2</v>
      </c>
      <c r="AF22" s="81" t="str">
        <f>$Q$47</f>
        <v>DUFFAUD</v>
      </c>
      <c r="AG22" s="105">
        <f t="shared" si="3"/>
        <v>4</v>
      </c>
      <c r="AH22" s="102" t="str">
        <f>AI22&amp;2</f>
        <v>32</v>
      </c>
      <c r="AI22" s="83">
        <f t="shared" si="0"/>
        <v>3</v>
      </c>
      <c r="AJ22" s="85">
        <f>$A$18</f>
        <v>3</v>
      </c>
      <c r="AK22" s="86" t="str">
        <f>$G$18</f>
        <v>CASIMIR</v>
      </c>
      <c r="AL22" s="85">
        <f>$G$20</f>
        <v>80</v>
      </c>
      <c r="AM22" s="85">
        <f>$F$20</f>
        <v>38</v>
      </c>
      <c r="AN22" s="85">
        <f>$I$20</f>
        <v>12</v>
      </c>
      <c r="AO22" s="87">
        <f>$J$20</f>
        <v>2</v>
      </c>
      <c r="AP22" s="86" t="str">
        <f>$B$18</f>
        <v>GARDAIS</v>
      </c>
      <c r="AQ22" s="83">
        <f t="shared" si="1"/>
        <v>2</v>
      </c>
    </row>
    <row r="23" spans="1:43" ht="21.75" customHeight="1" thickBot="1">
      <c r="A23" s="1"/>
      <c r="B23" s="6"/>
      <c r="C23" s="7"/>
      <c r="D23" s="6"/>
      <c r="E23" s="6"/>
      <c r="F23" s="18"/>
      <c r="G23" s="6"/>
      <c r="H23" s="7"/>
      <c r="I23" s="6"/>
      <c r="J23" s="6"/>
      <c r="K23" s="6"/>
      <c r="P23" s="54"/>
      <c r="Y23" s="79">
        <f t="shared" si="2"/>
        <v>4</v>
      </c>
      <c r="Z23" s="80">
        <f>A$54</f>
        <v>13</v>
      </c>
      <c r="AA23" s="81" t="str">
        <f>$B$54</f>
        <v>DUFFAUD</v>
      </c>
      <c r="AB23" s="80">
        <f>$B$56</f>
        <v>53</v>
      </c>
      <c r="AC23" s="80">
        <f>$F$56</f>
        <v>38</v>
      </c>
      <c r="AD23" s="80">
        <f>$D$56</f>
        <v>6</v>
      </c>
      <c r="AE23" s="82">
        <f>$E$56</f>
        <v>0</v>
      </c>
      <c r="AF23" s="81" t="str">
        <f>$G$54</f>
        <v>LIS</v>
      </c>
      <c r="AG23" s="105">
        <f t="shared" si="3"/>
        <v>5</v>
      </c>
      <c r="AH23" s="102" t="str">
        <f>AI23&amp;3</f>
        <v>33</v>
      </c>
      <c r="AI23" s="83">
        <f t="shared" si="0"/>
        <v>3</v>
      </c>
      <c r="AJ23" s="85">
        <f>$U$32</f>
        <v>8</v>
      </c>
      <c r="AK23" s="86" t="str">
        <f>$L$32</f>
        <v>CASIMIR</v>
      </c>
      <c r="AL23" s="85">
        <f>$L$34</f>
        <v>69</v>
      </c>
      <c r="AM23" s="85">
        <f>$P$34</f>
        <v>45</v>
      </c>
      <c r="AN23" s="85">
        <f>$N$34</f>
        <v>11</v>
      </c>
      <c r="AO23" s="87">
        <f>$O$34</f>
        <v>0</v>
      </c>
      <c r="AP23" s="86" t="str">
        <f>$Q$32</f>
        <v>LIS</v>
      </c>
      <c r="AQ23" s="83">
        <f t="shared" si="1"/>
        <v>5</v>
      </c>
    </row>
    <row r="24" spans="1:43" ht="19.5" customHeight="1">
      <c r="A24" s="1"/>
      <c r="B24" s="37"/>
      <c r="C24" s="52" t="s">
        <v>65</v>
      </c>
      <c r="D24" s="38"/>
      <c r="E24" s="38"/>
      <c r="F24" s="68" t="s">
        <v>47</v>
      </c>
      <c r="G24" s="69"/>
      <c r="H24" s="70"/>
      <c r="I24" s="68" t="s">
        <v>66</v>
      </c>
      <c r="J24" s="71"/>
      <c r="K24" s="20" t="s">
        <v>40</v>
      </c>
      <c r="L24" s="37"/>
      <c r="M24" s="52" t="s">
        <v>65</v>
      </c>
      <c r="N24" s="38"/>
      <c r="O24" s="38"/>
      <c r="P24" s="68" t="s">
        <v>57</v>
      </c>
      <c r="Q24" s="69"/>
      <c r="R24" s="70"/>
      <c r="S24" s="69" t="s">
        <v>45</v>
      </c>
      <c r="T24" s="71"/>
      <c r="Y24" s="79">
        <f t="shared" si="2"/>
        <v>3</v>
      </c>
      <c r="Z24" s="80">
        <f>U$54</f>
        <v>14</v>
      </c>
      <c r="AA24" s="81" t="str">
        <f>$L$54</f>
        <v>CASIMIR</v>
      </c>
      <c r="AB24" s="80">
        <f>$L$56</f>
        <v>39</v>
      </c>
      <c r="AC24" s="80">
        <f>$P$56</f>
        <v>31</v>
      </c>
      <c r="AD24" s="80">
        <f>$N$56</f>
        <v>8</v>
      </c>
      <c r="AE24" s="82">
        <f>$O$56</f>
        <v>0</v>
      </c>
      <c r="AF24" s="81" t="str">
        <f>$Q$54</f>
        <v>REMY</v>
      </c>
      <c r="AG24" s="105">
        <f t="shared" si="3"/>
        <v>6</v>
      </c>
      <c r="AH24" s="102" t="str">
        <f>AI24&amp;4</f>
        <v>34</v>
      </c>
      <c r="AI24" s="83">
        <f t="shared" si="0"/>
        <v>3</v>
      </c>
      <c r="AJ24" s="85">
        <f>$A$47</f>
        <v>11</v>
      </c>
      <c r="AK24" s="86" t="str">
        <f>$G$47</f>
        <v>CASIMIR</v>
      </c>
      <c r="AL24" s="85">
        <f>$G$49</f>
        <v>55</v>
      </c>
      <c r="AM24" s="85">
        <f>$F$49</f>
        <v>35</v>
      </c>
      <c r="AN24" s="85">
        <f>$I$49</f>
        <v>6</v>
      </c>
      <c r="AO24" s="87">
        <f>$J$49</f>
        <v>0</v>
      </c>
      <c r="AP24" s="86" t="str">
        <f>$B$47</f>
        <v>GERARD</v>
      </c>
      <c r="AQ24" s="83">
        <f t="shared" si="1"/>
        <v>1</v>
      </c>
    </row>
    <row r="25" spans="1:43" ht="27.75" customHeight="1" thickBot="1">
      <c r="A25" s="88">
        <v>5</v>
      </c>
      <c r="B25" s="429" t="str">
        <f>[0]!NOM1</f>
        <v>GERARD</v>
      </c>
      <c r="C25" s="430"/>
      <c r="D25" s="430"/>
      <c r="E25" s="431"/>
      <c r="F25" s="57"/>
      <c r="G25" s="429" t="str">
        <f>[0]!NOM5</f>
        <v>LIS</v>
      </c>
      <c r="H25" s="430"/>
      <c r="I25" s="430"/>
      <c r="J25" s="431"/>
      <c r="K25" s="19" t="str">
        <f>[0]!NOM2</f>
        <v>GARDAIS</v>
      </c>
      <c r="L25" s="429" t="str">
        <f>[0]!NOM6</f>
        <v>REMY</v>
      </c>
      <c r="M25" s="430"/>
      <c r="N25" s="430"/>
      <c r="O25" s="431"/>
      <c r="P25" s="57"/>
      <c r="Q25" s="429" t="str">
        <f>[0]!NOM4</f>
        <v>DUFFAUD</v>
      </c>
      <c r="R25" s="430"/>
      <c r="S25" s="430"/>
      <c r="T25" s="431"/>
      <c r="U25">
        <v>6</v>
      </c>
      <c r="Y25" s="84">
        <f t="shared" si="2"/>
        <v>1</v>
      </c>
      <c r="Z25" s="89">
        <f>U$61</f>
        <v>15</v>
      </c>
      <c r="AA25" s="90" t="str">
        <f>$L$61</f>
        <v>GERARD</v>
      </c>
      <c r="AB25" s="89">
        <f>$L$63</f>
        <v>80</v>
      </c>
      <c r="AC25" s="89">
        <f>$P$63</f>
        <v>19</v>
      </c>
      <c r="AD25" s="89">
        <f>$N$63</f>
        <v>17</v>
      </c>
      <c r="AE25" s="91">
        <f>$O$63</f>
        <v>2</v>
      </c>
      <c r="AF25" s="90" t="str">
        <f>$Q$61</f>
        <v>GARDAIS</v>
      </c>
      <c r="AG25" s="106">
        <f t="shared" si="3"/>
        <v>2</v>
      </c>
      <c r="AH25" s="103" t="str">
        <f>AI25&amp;5</f>
        <v>35</v>
      </c>
      <c r="AI25" s="96">
        <f t="shared" si="0"/>
        <v>3</v>
      </c>
      <c r="AJ25" s="85">
        <f>$U$54</f>
        <v>14</v>
      </c>
      <c r="AK25" s="98" t="str">
        <f>$L$54</f>
        <v>CASIMIR</v>
      </c>
      <c r="AL25" s="97">
        <f>$L$56</f>
        <v>39</v>
      </c>
      <c r="AM25" s="97">
        <f>$P$56</f>
        <v>31</v>
      </c>
      <c r="AN25" s="97">
        <f>$N$56</f>
        <v>8</v>
      </c>
      <c r="AO25" s="99">
        <f>$O$56</f>
        <v>0</v>
      </c>
      <c r="AP25" s="98" t="str">
        <f>$Q$54</f>
        <v>REMY</v>
      </c>
      <c r="AQ25" s="96">
        <f t="shared" si="1"/>
        <v>6</v>
      </c>
    </row>
    <row r="26" spans="1:43" ht="17.25" customHeight="1">
      <c r="A26" s="1"/>
      <c r="B26" s="8" t="s">
        <v>7</v>
      </c>
      <c r="C26" s="15" t="s">
        <v>6</v>
      </c>
      <c r="D26" s="10" t="s">
        <v>8</v>
      </c>
      <c r="E26" s="10" t="s">
        <v>9</v>
      </c>
      <c r="F26" s="13" t="s">
        <v>10</v>
      </c>
      <c r="G26" s="10" t="s">
        <v>7</v>
      </c>
      <c r="H26" s="15" t="s">
        <v>6</v>
      </c>
      <c r="I26" s="10" t="s">
        <v>8</v>
      </c>
      <c r="J26" s="11" t="s">
        <v>9</v>
      </c>
      <c r="K26" s="19" t="str">
        <f>[0]!NOM3</f>
        <v>CASIMIR</v>
      </c>
      <c r="L26" s="8" t="s">
        <v>7</v>
      </c>
      <c r="M26" s="15" t="s">
        <v>6</v>
      </c>
      <c r="N26" s="10" t="s">
        <v>8</v>
      </c>
      <c r="O26" s="10" t="s">
        <v>9</v>
      </c>
      <c r="P26" s="13" t="s">
        <v>10</v>
      </c>
      <c r="Q26" s="10" t="s">
        <v>7</v>
      </c>
      <c r="R26" s="15" t="s">
        <v>6</v>
      </c>
      <c r="S26" s="10" t="s">
        <v>8</v>
      </c>
      <c r="T26" s="11" t="s">
        <v>9</v>
      </c>
      <c r="Y26" s="79">
        <f t="shared" si="2"/>
        <v>4</v>
      </c>
      <c r="Z26" s="85">
        <f>A$11</f>
        <v>1</v>
      </c>
      <c r="AA26" s="86" t="str">
        <f>$G$11</f>
        <v>DUFFAUD</v>
      </c>
      <c r="AB26" s="85">
        <f>$G$13</f>
        <v>80</v>
      </c>
      <c r="AC26" s="85">
        <f>$F$13</f>
        <v>48</v>
      </c>
      <c r="AD26" s="85">
        <f>$I$13</f>
        <v>8</v>
      </c>
      <c r="AE26" s="87">
        <f>$J$13</f>
        <v>2</v>
      </c>
      <c r="AF26" s="86" t="str">
        <f>$B$11</f>
        <v>CASIMIR</v>
      </c>
      <c r="AG26" s="105">
        <f t="shared" si="3"/>
        <v>3</v>
      </c>
      <c r="AH26" s="101" t="str">
        <f>AI26&amp;1</f>
        <v>41</v>
      </c>
      <c r="AI26" s="92">
        <f t="shared" si="0"/>
        <v>4</v>
      </c>
      <c r="AJ26" s="93">
        <f>$A$11</f>
        <v>1</v>
      </c>
      <c r="AK26" s="94" t="str">
        <f>$G$11</f>
        <v>DUFFAUD</v>
      </c>
      <c r="AL26" s="93">
        <f>$G$13</f>
        <v>80</v>
      </c>
      <c r="AM26" s="93">
        <f>$F$13</f>
        <v>48</v>
      </c>
      <c r="AN26" s="93">
        <f>$I$13</f>
        <v>8</v>
      </c>
      <c r="AO26" s="95">
        <f>$J$13</f>
        <v>2</v>
      </c>
      <c r="AP26" s="94" t="str">
        <f>$B$11</f>
        <v>CASIMIR</v>
      </c>
      <c r="AQ26" s="92">
        <f t="shared" si="1"/>
        <v>3</v>
      </c>
    </row>
    <row r="27" spans="1:43" ht="25.5" customHeight="1" thickBot="1">
      <c r="A27" s="1"/>
      <c r="B27" s="354">
        <v>80</v>
      </c>
      <c r="C27" s="402">
        <f>IF(F27=0,"",B27/F27)</f>
        <v>3.2</v>
      </c>
      <c r="D27" s="355">
        <v>20</v>
      </c>
      <c r="E27" s="356">
        <f>IF(F27=0,"",IF(B27&gt;G27,2,IF(B27=G27,1,0)))</f>
        <v>2</v>
      </c>
      <c r="F27" s="58">
        <v>25</v>
      </c>
      <c r="G27" s="354">
        <v>53</v>
      </c>
      <c r="H27" s="402">
        <f>IF(F27=0,"",G27/F27)</f>
        <v>2.12</v>
      </c>
      <c r="I27" s="355">
        <v>9</v>
      </c>
      <c r="J27" s="356">
        <f>IF(F27=0,"",IF(G27&gt;B27,2,IF(G27=B27,1,0)))</f>
        <v>0</v>
      </c>
      <c r="K27" s="6"/>
      <c r="L27" s="354">
        <v>80</v>
      </c>
      <c r="M27" s="402">
        <f>IF(P27=0,"",L27/P27)</f>
        <v>2.3529411764705883</v>
      </c>
      <c r="N27" s="355">
        <v>15</v>
      </c>
      <c r="O27" s="356">
        <f>IF(P27=0,"",IF(L27&gt;Q27,2,IF(L27=Q27,1,0)))</f>
        <v>2</v>
      </c>
      <c r="P27" s="58">
        <v>34</v>
      </c>
      <c r="Q27" s="354">
        <v>47</v>
      </c>
      <c r="R27" s="402">
        <f>IF(P27=0,"",Q27/P27)</f>
        <v>1.3823529411764706</v>
      </c>
      <c r="S27" s="355">
        <v>7</v>
      </c>
      <c r="T27" s="356">
        <f>IF(P27=0,"",IF(Q27&gt;L27,2,IF(Q27=L27,1,0)))</f>
        <v>0</v>
      </c>
      <c r="Y27" s="79">
        <f t="shared" si="2"/>
        <v>5</v>
      </c>
      <c r="Z27" s="85">
        <f>U$11</f>
        <v>2</v>
      </c>
      <c r="AA27" s="86" t="str">
        <f>$Q$11</f>
        <v>LIS</v>
      </c>
      <c r="AB27" s="85">
        <f>$Q$13</f>
        <v>80</v>
      </c>
      <c r="AC27" s="85">
        <f>$P$13</f>
        <v>41</v>
      </c>
      <c r="AD27" s="85">
        <f>$S$13</f>
        <v>11</v>
      </c>
      <c r="AE27" s="87">
        <f>$T$13</f>
        <v>2</v>
      </c>
      <c r="AF27" s="86" t="str">
        <f>$L$11</f>
        <v>GARDAIS</v>
      </c>
      <c r="AG27" s="105">
        <f t="shared" si="3"/>
        <v>2</v>
      </c>
      <c r="AH27" s="102" t="str">
        <f>AI27&amp;2</f>
        <v>42</v>
      </c>
      <c r="AI27" s="83">
        <f t="shared" si="0"/>
        <v>4</v>
      </c>
      <c r="AJ27" s="85">
        <f>$U$25</f>
        <v>6</v>
      </c>
      <c r="AK27" s="86" t="str">
        <f>$Q$25</f>
        <v>DUFFAUD</v>
      </c>
      <c r="AL27" s="85">
        <f>$Q$27</f>
        <v>47</v>
      </c>
      <c r="AM27" s="85">
        <f>$P$27</f>
        <v>34</v>
      </c>
      <c r="AN27" s="85">
        <f>$S$27</f>
        <v>7</v>
      </c>
      <c r="AO27" s="87">
        <f>$T$27</f>
        <v>0</v>
      </c>
      <c r="AP27" s="86" t="str">
        <f>$L$25</f>
        <v>REMY</v>
      </c>
      <c r="AQ27" s="83">
        <f t="shared" si="1"/>
        <v>6</v>
      </c>
    </row>
    <row r="28" spans="1:43" ht="23.25" customHeight="1" thickBot="1">
      <c r="A28" s="1"/>
      <c r="F28" s="54"/>
      <c r="K28" s="6"/>
      <c r="P28" s="54"/>
      <c r="Y28" s="79">
        <f t="shared" si="2"/>
        <v>3</v>
      </c>
      <c r="Z28" s="85">
        <f>A$18</f>
        <v>3</v>
      </c>
      <c r="AA28" s="86" t="str">
        <f>$G$18</f>
        <v>CASIMIR</v>
      </c>
      <c r="AB28" s="85">
        <f>$G$20</f>
        <v>80</v>
      </c>
      <c r="AC28" s="85">
        <f>$F$20</f>
        <v>38</v>
      </c>
      <c r="AD28" s="85">
        <f>$I$20</f>
        <v>12</v>
      </c>
      <c r="AE28" s="87">
        <f>$J$20</f>
        <v>2</v>
      </c>
      <c r="AF28" s="86" t="str">
        <f>$B$18</f>
        <v>GARDAIS</v>
      </c>
      <c r="AG28" s="105">
        <f t="shared" si="3"/>
        <v>2</v>
      </c>
      <c r="AH28" s="102" t="str">
        <f>AI28&amp;3</f>
        <v>43</v>
      </c>
      <c r="AI28" s="83">
        <f t="shared" si="0"/>
        <v>4</v>
      </c>
      <c r="AJ28" s="85">
        <f>$A$39</f>
        <v>9</v>
      </c>
      <c r="AK28" s="86" t="str">
        <f>$G$39</f>
        <v>DUFFAUD</v>
      </c>
      <c r="AL28" s="85">
        <f>$G$41</f>
        <v>48</v>
      </c>
      <c r="AM28" s="85">
        <f>$F$41</f>
        <v>32</v>
      </c>
      <c r="AN28" s="85">
        <f>$I$41</f>
        <v>5</v>
      </c>
      <c r="AO28" s="87">
        <f>$J$41</f>
        <v>0</v>
      </c>
      <c r="AP28" s="86" t="str">
        <f>$B$39</f>
        <v>GERARD</v>
      </c>
      <c r="AQ28" s="83">
        <f t="shared" si="1"/>
        <v>1</v>
      </c>
    </row>
    <row r="29" spans="1:43" ht="38.25" customHeight="1" thickTop="1">
      <c r="A29" s="21"/>
      <c r="B29" s="22"/>
      <c r="C29" s="22"/>
      <c r="D29" s="22"/>
      <c r="E29" s="22"/>
      <c r="F29" s="55"/>
      <c r="G29" s="22"/>
      <c r="H29" s="22"/>
      <c r="I29" s="22"/>
      <c r="J29" s="439" t="s">
        <v>38</v>
      </c>
      <c r="K29" s="439"/>
      <c r="L29" s="439"/>
      <c r="M29" s="22"/>
      <c r="N29" s="22"/>
      <c r="O29" s="22"/>
      <c r="P29" s="55"/>
      <c r="Q29" s="22"/>
      <c r="R29" s="22"/>
      <c r="S29" s="22"/>
      <c r="T29" s="22"/>
      <c r="U29" s="22"/>
      <c r="Y29" s="79">
        <f t="shared" si="2"/>
        <v>6</v>
      </c>
      <c r="Z29" s="85">
        <f>U$18</f>
        <v>4</v>
      </c>
      <c r="AA29" s="86" t="str">
        <f>$Q$18</f>
        <v>REMY</v>
      </c>
      <c r="AB29" s="85">
        <f>$Q$20</f>
        <v>62</v>
      </c>
      <c r="AC29" s="85">
        <f>$P$20</f>
        <v>33</v>
      </c>
      <c r="AD29" s="85">
        <f>$S$20</f>
        <v>8</v>
      </c>
      <c r="AE29" s="87">
        <f>$T$20</f>
        <v>0</v>
      </c>
      <c r="AF29" s="86" t="str">
        <f>$L$18</f>
        <v>GERARD</v>
      </c>
      <c r="AG29" s="105">
        <f t="shared" si="3"/>
        <v>1</v>
      </c>
      <c r="AH29" s="102" t="str">
        <f>AI29&amp;4</f>
        <v>44</v>
      </c>
      <c r="AI29" s="83">
        <f t="shared" si="0"/>
        <v>4</v>
      </c>
      <c r="AJ29" s="85">
        <f>$U$47</f>
        <v>12</v>
      </c>
      <c r="AK29" s="86" t="str">
        <f>$Q$47</f>
        <v>DUFFAUD</v>
      </c>
      <c r="AL29" s="85">
        <f>$Q$49</f>
        <v>71</v>
      </c>
      <c r="AM29" s="85">
        <f>$P$49</f>
        <v>39</v>
      </c>
      <c r="AN29" s="85">
        <f>$S$49</f>
        <v>7</v>
      </c>
      <c r="AO29" s="87">
        <f>$T$49</f>
        <v>0</v>
      </c>
      <c r="AP29" s="86" t="str">
        <f>$L$47</f>
        <v>GARDAIS</v>
      </c>
      <c r="AQ29" s="83">
        <f t="shared" si="1"/>
        <v>2</v>
      </c>
    </row>
    <row r="30" spans="1:43" ht="21.75" customHeight="1" thickBot="1">
      <c r="A30" s="1"/>
      <c r="F30" s="54"/>
      <c r="K30" s="6"/>
      <c r="P30" s="54"/>
      <c r="Y30" s="79">
        <f t="shared" si="2"/>
        <v>5</v>
      </c>
      <c r="Z30" s="85">
        <f>A$25</f>
        <v>5</v>
      </c>
      <c r="AA30" s="86" t="str">
        <f>$G$25</f>
        <v>LIS</v>
      </c>
      <c r="AB30" s="85">
        <f>$G$27</f>
        <v>53</v>
      </c>
      <c r="AC30" s="85">
        <f>$F$27</f>
        <v>25</v>
      </c>
      <c r="AD30" s="85">
        <f>$I$27</f>
        <v>9</v>
      </c>
      <c r="AE30" s="87">
        <f>$J$27</f>
        <v>0</v>
      </c>
      <c r="AF30" s="86" t="str">
        <f>$B$25</f>
        <v>GERARD</v>
      </c>
      <c r="AG30" s="105">
        <f t="shared" si="3"/>
        <v>1</v>
      </c>
      <c r="AH30" s="103" t="str">
        <f>AI30&amp;5</f>
        <v>45</v>
      </c>
      <c r="AI30" s="96">
        <f t="shared" si="0"/>
        <v>4</v>
      </c>
      <c r="AJ30" s="85">
        <f>$A$54</f>
        <v>13</v>
      </c>
      <c r="AK30" s="98" t="str">
        <f>$B$54</f>
        <v>DUFFAUD</v>
      </c>
      <c r="AL30" s="97">
        <f>$B$56</f>
        <v>53</v>
      </c>
      <c r="AM30" s="97">
        <f>$F$56</f>
        <v>38</v>
      </c>
      <c r="AN30" s="97">
        <f>$D$56</f>
        <v>6</v>
      </c>
      <c r="AO30" s="99">
        <f>$E$56</f>
        <v>0</v>
      </c>
      <c r="AP30" s="98" t="str">
        <f>$G$54</f>
        <v>LIS</v>
      </c>
      <c r="AQ30" s="96">
        <f t="shared" si="1"/>
        <v>5</v>
      </c>
    </row>
    <row r="31" spans="1:43" ht="18.75" customHeight="1">
      <c r="A31" s="1"/>
      <c r="B31" s="39"/>
      <c r="C31" s="51" t="s">
        <v>64</v>
      </c>
      <c r="D31" s="40"/>
      <c r="E31" s="40"/>
      <c r="F31" s="65" t="s">
        <v>48</v>
      </c>
      <c r="G31" s="66"/>
      <c r="H31" s="67"/>
      <c r="I31" s="65" t="s">
        <v>66</v>
      </c>
      <c r="J31" s="41"/>
      <c r="K31" s="20" t="s">
        <v>40</v>
      </c>
      <c r="L31" s="39"/>
      <c r="M31" s="51" t="s">
        <v>64</v>
      </c>
      <c r="N31" s="40"/>
      <c r="O31" s="40"/>
      <c r="P31" s="65" t="s">
        <v>56</v>
      </c>
      <c r="Q31" s="66"/>
      <c r="R31" s="67"/>
      <c r="S31" s="66" t="s">
        <v>45</v>
      </c>
      <c r="T31" s="41"/>
      <c r="Y31" s="79">
        <f t="shared" si="2"/>
        <v>4</v>
      </c>
      <c r="Z31" s="85">
        <f>U$25</f>
        <v>6</v>
      </c>
      <c r="AA31" s="86" t="str">
        <f>$Q$25</f>
        <v>DUFFAUD</v>
      </c>
      <c r="AB31" s="85">
        <f>$Q$27</f>
        <v>47</v>
      </c>
      <c r="AC31" s="85">
        <f>$P$27</f>
        <v>34</v>
      </c>
      <c r="AD31" s="85">
        <f>$S$27</f>
        <v>7</v>
      </c>
      <c r="AE31" s="87">
        <f>$T$27</f>
        <v>0</v>
      </c>
      <c r="AF31" s="86" t="str">
        <f>$L$25</f>
        <v>REMY</v>
      </c>
      <c r="AG31" s="105">
        <f t="shared" si="3"/>
        <v>6</v>
      </c>
      <c r="AH31" s="101" t="str">
        <f>AI31&amp;1</f>
        <v>51</v>
      </c>
      <c r="AI31" s="92">
        <f t="shared" si="0"/>
        <v>5</v>
      </c>
      <c r="AJ31" s="93">
        <f>$U$11</f>
        <v>2</v>
      </c>
      <c r="AK31" s="94" t="str">
        <f>$Q$11</f>
        <v>LIS</v>
      </c>
      <c r="AL31" s="93">
        <f>$Q$13</f>
        <v>80</v>
      </c>
      <c r="AM31" s="93">
        <f>$P$13</f>
        <v>41</v>
      </c>
      <c r="AN31" s="93">
        <f>$S$13</f>
        <v>11</v>
      </c>
      <c r="AO31" s="95">
        <f>$T$13</f>
        <v>2</v>
      </c>
      <c r="AP31" s="94" t="str">
        <f>$L$11</f>
        <v>GARDAIS</v>
      </c>
      <c r="AQ31" s="92">
        <f t="shared" si="1"/>
        <v>2</v>
      </c>
    </row>
    <row r="32" spans="1:43" ht="27.75" customHeight="1">
      <c r="A32" s="88">
        <v>7</v>
      </c>
      <c r="B32" s="429" t="str">
        <f>[0]!NOM2</f>
        <v>GARDAIS</v>
      </c>
      <c r="C32" s="430"/>
      <c r="D32" s="430"/>
      <c r="E32" s="431"/>
      <c r="F32" s="57"/>
      <c r="G32" s="429" t="str">
        <f>[0]!NOM6</f>
        <v>REMY</v>
      </c>
      <c r="H32" s="430"/>
      <c r="I32" s="430"/>
      <c r="J32" s="431"/>
      <c r="K32" s="19" t="str">
        <f>[0]!NOM1</f>
        <v>GERARD</v>
      </c>
      <c r="L32" s="429" t="str">
        <f>[0]!NOM3</f>
        <v>CASIMIR</v>
      </c>
      <c r="M32" s="430"/>
      <c r="N32" s="430"/>
      <c r="O32" s="431"/>
      <c r="P32" s="57"/>
      <c r="Q32" s="429" t="str">
        <f>[0]!NOM5</f>
        <v>LIS</v>
      </c>
      <c r="R32" s="430"/>
      <c r="S32" s="430"/>
      <c r="T32" s="431"/>
      <c r="U32">
        <v>8</v>
      </c>
      <c r="Y32" s="79">
        <f t="shared" si="2"/>
        <v>6</v>
      </c>
      <c r="Z32" s="85">
        <f>A$32</f>
        <v>7</v>
      </c>
      <c r="AA32" s="86" t="str">
        <f>$G$32</f>
        <v>REMY</v>
      </c>
      <c r="AB32" s="85">
        <f>$G$34</f>
        <v>80</v>
      </c>
      <c r="AC32" s="85">
        <f>$F$34</f>
        <v>34</v>
      </c>
      <c r="AD32" s="85">
        <f>$I$34</f>
        <v>13</v>
      </c>
      <c r="AE32" s="87">
        <f>$J$34</f>
        <v>2</v>
      </c>
      <c r="AF32" s="86" t="str">
        <f>$B$32</f>
        <v>GARDAIS</v>
      </c>
      <c r="AG32" s="105">
        <f t="shared" si="3"/>
        <v>2</v>
      </c>
      <c r="AH32" s="102" t="str">
        <f>AI32&amp;2</f>
        <v>52</v>
      </c>
      <c r="AI32" s="83">
        <f t="shared" si="0"/>
        <v>5</v>
      </c>
      <c r="AJ32" s="85">
        <f>$A$25</f>
        <v>5</v>
      </c>
      <c r="AK32" s="86" t="str">
        <f>$G$25</f>
        <v>LIS</v>
      </c>
      <c r="AL32" s="85">
        <f>$G$27</f>
        <v>53</v>
      </c>
      <c r="AM32" s="85">
        <f>$F$27</f>
        <v>25</v>
      </c>
      <c r="AN32" s="85">
        <f>$I$27</f>
        <v>9</v>
      </c>
      <c r="AO32" s="87">
        <f>$J$27</f>
        <v>0</v>
      </c>
      <c r="AP32" s="86" t="str">
        <f>$B$25</f>
        <v>GERARD</v>
      </c>
      <c r="AQ32" s="83">
        <f t="shared" si="1"/>
        <v>1</v>
      </c>
    </row>
    <row r="33" spans="1:43" ht="17.25" customHeight="1">
      <c r="A33" s="6"/>
      <c r="B33" s="8" t="s">
        <v>7</v>
      </c>
      <c r="C33" s="15" t="s">
        <v>6</v>
      </c>
      <c r="D33" s="10" t="s">
        <v>8</v>
      </c>
      <c r="E33" s="10" t="s">
        <v>9</v>
      </c>
      <c r="F33" s="13" t="s">
        <v>10</v>
      </c>
      <c r="G33" s="10" t="s">
        <v>7</v>
      </c>
      <c r="H33" s="15" t="s">
        <v>6</v>
      </c>
      <c r="I33" s="10" t="s">
        <v>8</v>
      </c>
      <c r="J33" s="11" t="s">
        <v>9</v>
      </c>
      <c r="K33" s="19" t="str">
        <f>[0]!NOM4</f>
        <v>DUFFAUD</v>
      </c>
      <c r="L33" s="8" t="s">
        <v>7</v>
      </c>
      <c r="M33" s="15" t="s">
        <v>6</v>
      </c>
      <c r="N33" s="10" t="s">
        <v>8</v>
      </c>
      <c r="O33" s="10" t="s">
        <v>9</v>
      </c>
      <c r="P33" s="13" t="s">
        <v>10</v>
      </c>
      <c r="Q33" s="10" t="s">
        <v>7</v>
      </c>
      <c r="R33" s="15" t="s">
        <v>6</v>
      </c>
      <c r="S33" s="10" t="s">
        <v>8</v>
      </c>
      <c r="T33" s="11" t="s">
        <v>9</v>
      </c>
      <c r="Y33" s="79">
        <f t="shared" si="2"/>
        <v>5</v>
      </c>
      <c r="Z33" s="85">
        <f>U$32</f>
        <v>8</v>
      </c>
      <c r="AA33" s="86" t="str">
        <f>$Q$32</f>
        <v>LIS</v>
      </c>
      <c r="AB33" s="85">
        <f>$Q$34</f>
        <v>80</v>
      </c>
      <c r="AC33" s="85">
        <f>$P$34</f>
        <v>45</v>
      </c>
      <c r="AD33" s="85">
        <f>$S$34</f>
        <v>8</v>
      </c>
      <c r="AE33" s="87">
        <f>$T$34</f>
        <v>2</v>
      </c>
      <c r="AF33" s="86" t="str">
        <f>$L$32</f>
        <v>CASIMIR</v>
      </c>
      <c r="AG33" s="105">
        <f t="shared" si="3"/>
        <v>3</v>
      </c>
      <c r="AH33" s="102" t="str">
        <f>AI33&amp;3</f>
        <v>53</v>
      </c>
      <c r="AI33" s="83">
        <f t="shared" si="0"/>
        <v>5</v>
      </c>
      <c r="AJ33" s="85">
        <f>$U$32</f>
        <v>8</v>
      </c>
      <c r="AK33" s="86" t="str">
        <f>$Q$32</f>
        <v>LIS</v>
      </c>
      <c r="AL33" s="85">
        <f>$Q$34</f>
        <v>80</v>
      </c>
      <c r="AM33" s="85">
        <f>$P$34</f>
        <v>45</v>
      </c>
      <c r="AN33" s="85">
        <f>$S$34</f>
        <v>8</v>
      </c>
      <c r="AO33" s="87">
        <f>$T$34</f>
        <v>2</v>
      </c>
      <c r="AP33" s="86" t="str">
        <f>$L$32</f>
        <v>CASIMIR</v>
      </c>
      <c r="AQ33" s="83">
        <f t="shared" si="1"/>
        <v>3</v>
      </c>
    </row>
    <row r="34" spans="1:43" ht="26.25" customHeight="1" thickBot="1">
      <c r="A34" s="1"/>
      <c r="B34" s="354">
        <v>73</v>
      </c>
      <c r="C34" s="402">
        <f>IF(F34=0,"",B34/F34)</f>
        <v>2.1470588235294117</v>
      </c>
      <c r="D34" s="355">
        <v>8</v>
      </c>
      <c r="E34" s="356">
        <f>IF(F34=0,"",IF(B34&gt;G34,2,IF(B34=G34,1,0)))</f>
        <v>0</v>
      </c>
      <c r="F34" s="58">
        <v>34</v>
      </c>
      <c r="G34" s="354">
        <v>80</v>
      </c>
      <c r="H34" s="402">
        <f>IF(F34=0,"",G34/F34)</f>
        <v>2.3529411764705883</v>
      </c>
      <c r="I34" s="355">
        <v>13</v>
      </c>
      <c r="J34" s="356">
        <f>IF(F34=0,"",IF(G34&gt;B34,2,IF(G34=B34,1,0)))</f>
        <v>2</v>
      </c>
      <c r="K34" s="6"/>
      <c r="L34" s="354">
        <v>69</v>
      </c>
      <c r="M34" s="402">
        <f>IF(P34=0,"",L34/P34)</f>
        <v>1.5333333333333334</v>
      </c>
      <c r="N34" s="355">
        <v>11</v>
      </c>
      <c r="O34" s="356">
        <f>IF(P34=0,"",IF(L34&gt;Q34,2,IF(L34=Q34,1,0)))</f>
        <v>0</v>
      </c>
      <c r="P34" s="58">
        <v>45</v>
      </c>
      <c r="Q34" s="354">
        <v>80</v>
      </c>
      <c r="R34" s="402">
        <f>IF(P34=0,"",Q34/P34)</f>
        <v>1.7777777777777777</v>
      </c>
      <c r="S34" s="355">
        <v>8</v>
      </c>
      <c r="T34" s="356">
        <f>IF(P34=0,"",IF(Q34&gt;L34,2,IF(Q34=L34,1,0)))</f>
        <v>2</v>
      </c>
      <c r="Y34" s="79">
        <f t="shared" si="2"/>
        <v>4</v>
      </c>
      <c r="Z34" s="85">
        <f>A$39</f>
        <v>9</v>
      </c>
      <c r="AA34" s="86" t="str">
        <f>$G$39</f>
        <v>DUFFAUD</v>
      </c>
      <c r="AB34" s="85">
        <f>$G$41</f>
        <v>48</v>
      </c>
      <c r="AC34" s="85">
        <f>$F$41</f>
        <v>32</v>
      </c>
      <c r="AD34" s="85">
        <f>$I$41</f>
        <v>5</v>
      </c>
      <c r="AE34" s="87">
        <f>$J$41</f>
        <v>0</v>
      </c>
      <c r="AF34" s="86" t="str">
        <f>$B$39</f>
        <v>GERARD</v>
      </c>
      <c r="AG34" s="105">
        <f t="shared" si="3"/>
        <v>1</v>
      </c>
      <c r="AH34" s="102" t="str">
        <f>AI34&amp;4</f>
        <v>54</v>
      </c>
      <c r="AI34" s="83">
        <f t="shared" si="0"/>
        <v>5</v>
      </c>
      <c r="AJ34" s="85">
        <f>$U$39</f>
        <v>10</v>
      </c>
      <c r="AK34" s="86" t="str">
        <f>$L$39</f>
        <v>LIS</v>
      </c>
      <c r="AL34" s="85">
        <f>$L$41</f>
        <v>80</v>
      </c>
      <c r="AM34" s="85">
        <f>$P$41</f>
        <v>39</v>
      </c>
      <c r="AN34" s="85">
        <f>$N$41</f>
        <v>11</v>
      </c>
      <c r="AO34" s="87">
        <f>$O$41</f>
        <v>2</v>
      </c>
      <c r="AP34" s="86" t="str">
        <f>$Q$39</f>
        <v>REMY</v>
      </c>
      <c r="AQ34" s="83">
        <f t="shared" si="1"/>
        <v>6</v>
      </c>
    </row>
    <row r="35" spans="1:43" ht="23.25" customHeight="1" thickBot="1">
      <c r="A35" s="1"/>
      <c r="F35" s="54"/>
      <c r="K35" s="6"/>
      <c r="P35" s="54"/>
      <c r="Y35" s="79">
        <f t="shared" si="2"/>
        <v>6</v>
      </c>
      <c r="Z35" s="85">
        <f>U$39</f>
        <v>10</v>
      </c>
      <c r="AA35" s="86" t="str">
        <f>$Q$39</f>
        <v>REMY</v>
      </c>
      <c r="AB35" s="85">
        <f>$Q$41</f>
        <v>58</v>
      </c>
      <c r="AC35" s="85">
        <f>$P$41</f>
        <v>39</v>
      </c>
      <c r="AD35" s="85">
        <f>$S$41</f>
        <v>6</v>
      </c>
      <c r="AE35" s="87">
        <f>$T$41</f>
        <v>0</v>
      </c>
      <c r="AF35" s="86" t="str">
        <f>$L$39</f>
        <v>LIS</v>
      </c>
      <c r="AG35" s="105">
        <f t="shared" si="3"/>
        <v>5</v>
      </c>
      <c r="AH35" s="103" t="str">
        <f>AI35&amp;5</f>
        <v>55</v>
      </c>
      <c r="AI35" s="96">
        <f t="shared" si="0"/>
        <v>5</v>
      </c>
      <c r="AJ35" s="85">
        <f>$A$54</f>
        <v>13</v>
      </c>
      <c r="AK35" s="98" t="str">
        <f>$G$54</f>
        <v>LIS</v>
      </c>
      <c r="AL35" s="97">
        <f>$G$56</f>
        <v>80</v>
      </c>
      <c r="AM35" s="97">
        <f>$F$56</f>
        <v>38</v>
      </c>
      <c r="AN35" s="97">
        <f>$I$56</f>
        <v>8</v>
      </c>
      <c r="AO35" s="99">
        <f>$J$56</f>
        <v>2</v>
      </c>
      <c r="AP35" s="98" t="str">
        <f>$B$54</f>
        <v>DUFFAUD</v>
      </c>
      <c r="AQ35" s="96">
        <f t="shared" si="1"/>
        <v>4</v>
      </c>
    </row>
    <row r="36" spans="1:43" ht="38.25" customHeight="1" thickTop="1">
      <c r="A36" s="21"/>
      <c r="B36" s="22"/>
      <c r="C36" s="22"/>
      <c r="D36" s="22"/>
      <c r="E36" s="22"/>
      <c r="F36" s="55"/>
      <c r="G36" s="22"/>
      <c r="H36" s="22"/>
      <c r="I36" s="22"/>
      <c r="J36" s="439" t="s">
        <v>37</v>
      </c>
      <c r="K36" s="439"/>
      <c r="L36" s="439"/>
      <c r="M36" s="22"/>
      <c r="N36" s="22"/>
      <c r="O36" s="22"/>
      <c r="P36" s="55"/>
      <c r="Q36" s="22"/>
      <c r="R36" s="22"/>
      <c r="S36" s="22"/>
      <c r="T36" s="22"/>
      <c r="U36" s="22"/>
      <c r="Y36" s="79">
        <f t="shared" si="2"/>
        <v>3</v>
      </c>
      <c r="Z36" s="85">
        <f>A$47</f>
        <v>11</v>
      </c>
      <c r="AA36" s="86" t="str">
        <f>$G$47</f>
        <v>CASIMIR</v>
      </c>
      <c r="AB36" s="85">
        <f>$G$49</f>
        <v>55</v>
      </c>
      <c r="AC36" s="85">
        <f>$F$49</f>
        <v>35</v>
      </c>
      <c r="AD36" s="85">
        <f>$I$49</f>
        <v>6</v>
      </c>
      <c r="AE36" s="87">
        <f>$J$49</f>
        <v>0</v>
      </c>
      <c r="AF36" s="86" t="str">
        <f>$B$47</f>
        <v>GERARD</v>
      </c>
      <c r="AG36" s="105">
        <f t="shared" si="3"/>
        <v>1</v>
      </c>
      <c r="AH36" s="101" t="str">
        <f>AI36&amp;1</f>
        <v>61</v>
      </c>
      <c r="AI36" s="92">
        <f t="shared" si="0"/>
        <v>6</v>
      </c>
      <c r="AJ36" s="93">
        <f>$U$18</f>
        <v>4</v>
      </c>
      <c r="AK36" s="94" t="str">
        <f>$Q$18</f>
        <v>REMY</v>
      </c>
      <c r="AL36" s="93">
        <f>$Q$20</f>
        <v>62</v>
      </c>
      <c r="AM36" s="93">
        <f>$P$20</f>
        <v>33</v>
      </c>
      <c r="AN36" s="93">
        <f>$S$20</f>
        <v>8</v>
      </c>
      <c r="AO36" s="95">
        <f>$T$20</f>
        <v>0</v>
      </c>
      <c r="AP36" s="94" t="str">
        <f>$L$18</f>
        <v>GERARD</v>
      </c>
      <c r="AQ36" s="92">
        <f t="shared" si="1"/>
        <v>1</v>
      </c>
    </row>
    <row r="37" spans="1:43" ht="21.75" customHeight="1" thickBot="1">
      <c r="A37" s="1"/>
      <c r="F37" s="54"/>
      <c r="K37" s="6"/>
      <c r="P37" s="54"/>
      <c r="Y37" s="79">
        <f t="shared" si="2"/>
        <v>4</v>
      </c>
      <c r="Z37" s="85">
        <f>U$47</f>
        <v>12</v>
      </c>
      <c r="AA37" s="86" t="str">
        <f>$Q$47</f>
        <v>DUFFAUD</v>
      </c>
      <c r="AB37" s="85">
        <f>$Q$49</f>
        <v>71</v>
      </c>
      <c r="AC37" s="85">
        <f>$P$49</f>
        <v>39</v>
      </c>
      <c r="AD37" s="85">
        <f>$S$49</f>
        <v>7</v>
      </c>
      <c r="AE37" s="87">
        <f>$T$49</f>
        <v>0</v>
      </c>
      <c r="AF37" s="86" t="str">
        <f>$L$47</f>
        <v>GARDAIS</v>
      </c>
      <c r="AG37" s="105">
        <f t="shared" si="3"/>
        <v>2</v>
      </c>
      <c r="AH37" s="102" t="str">
        <f>AI37&amp;2</f>
        <v>62</v>
      </c>
      <c r="AI37" s="83">
        <f t="shared" si="0"/>
        <v>6</v>
      </c>
      <c r="AJ37" s="85">
        <f>$U$25</f>
        <v>6</v>
      </c>
      <c r="AK37" s="86" t="str">
        <f>$L$25</f>
        <v>REMY</v>
      </c>
      <c r="AL37" s="85">
        <f>$L$27</f>
        <v>80</v>
      </c>
      <c r="AM37" s="85">
        <f>$P$27</f>
        <v>34</v>
      </c>
      <c r="AN37" s="85">
        <f>$N$27</f>
        <v>15</v>
      </c>
      <c r="AO37" s="87">
        <f>$O$27</f>
        <v>2</v>
      </c>
      <c r="AP37" s="86" t="str">
        <f>$Q$25</f>
        <v>DUFFAUD</v>
      </c>
      <c r="AQ37" s="83">
        <f t="shared" si="1"/>
        <v>4</v>
      </c>
    </row>
    <row r="38" spans="1:43" ht="18.75" customHeight="1">
      <c r="A38" s="1"/>
      <c r="B38" s="39"/>
      <c r="C38" s="51" t="s">
        <v>64</v>
      </c>
      <c r="D38" s="40"/>
      <c r="E38" s="40"/>
      <c r="F38" s="65" t="s">
        <v>49</v>
      </c>
      <c r="G38" s="66"/>
      <c r="H38" s="67"/>
      <c r="I38" s="65" t="s">
        <v>66</v>
      </c>
      <c r="J38" s="41"/>
      <c r="K38" s="20" t="s">
        <v>40</v>
      </c>
      <c r="L38" s="42"/>
      <c r="M38" s="50" t="s">
        <v>41</v>
      </c>
      <c r="N38" s="43"/>
      <c r="O38" s="43"/>
      <c r="P38" s="61" t="s">
        <v>55</v>
      </c>
      <c r="Q38" s="62"/>
      <c r="R38" s="63"/>
      <c r="S38" s="62" t="s">
        <v>45</v>
      </c>
      <c r="T38" s="64"/>
      <c r="Y38" s="79">
        <f t="shared" si="2"/>
        <v>5</v>
      </c>
      <c r="Z38" s="85">
        <f>A$54</f>
        <v>13</v>
      </c>
      <c r="AA38" s="86" t="str">
        <f>$G$54</f>
        <v>LIS</v>
      </c>
      <c r="AB38" s="85">
        <f>$G$56</f>
        <v>80</v>
      </c>
      <c r="AC38" s="85">
        <f>$F$56</f>
        <v>38</v>
      </c>
      <c r="AD38" s="85">
        <f>$I$56</f>
        <v>8</v>
      </c>
      <c r="AE38" s="87">
        <f>$J$56</f>
        <v>2</v>
      </c>
      <c r="AF38" s="86" t="str">
        <f>$B$54</f>
        <v>DUFFAUD</v>
      </c>
      <c r="AG38" s="105">
        <f t="shared" si="3"/>
        <v>4</v>
      </c>
      <c r="AH38" s="102" t="str">
        <f>AI38&amp;3</f>
        <v>63</v>
      </c>
      <c r="AI38" s="83">
        <f t="shared" si="0"/>
        <v>6</v>
      </c>
      <c r="AJ38" s="85">
        <f>$A$32</f>
        <v>7</v>
      </c>
      <c r="AK38" s="86" t="str">
        <f>$G$32</f>
        <v>REMY</v>
      </c>
      <c r="AL38" s="85">
        <f>$G$34</f>
        <v>80</v>
      </c>
      <c r="AM38" s="85">
        <f>$F$34</f>
        <v>34</v>
      </c>
      <c r="AN38" s="85">
        <f>$I$34</f>
        <v>13</v>
      </c>
      <c r="AO38" s="87">
        <f>$J$34</f>
        <v>2</v>
      </c>
      <c r="AP38" s="86" t="str">
        <f>$B$32</f>
        <v>GARDAIS</v>
      </c>
      <c r="AQ38" s="83">
        <f t="shared" si="1"/>
        <v>2</v>
      </c>
    </row>
    <row r="39" spans="1:43" ht="29.25" customHeight="1">
      <c r="A39" s="88">
        <v>9</v>
      </c>
      <c r="B39" s="429" t="str">
        <f>[0]!NOM1</f>
        <v>GERARD</v>
      </c>
      <c r="C39" s="430"/>
      <c r="D39" s="430"/>
      <c r="E39" s="431"/>
      <c r="F39" s="57"/>
      <c r="G39" s="429" t="str">
        <f>[0]!NOM4</f>
        <v>DUFFAUD</v>
      </c>
      <c r="H39" s="430"/>
      <c r="I39" s="430"/>
      <c r="J39" s="431"/>
      <c r="K39" s="19" t="str">
        <f>[0]!NOM2</f>
        <v>GARDAIS</v>
      </c>
      <c r="L39" s="429" t="str">
        <f>[0]!NOM5</f>
        <v>LIS</v>
      </c>
      <c r="M39" s="430"/>
      <c r="N39" s="430"/>
      <c r="O39" s="431"/>
      <c r="P39" s="57"/>
      <c r="Q39" s="429" t="str">
        <f>[0]!NOM6</f>
        <v>REMY</v>
      </c>
      <c r="R39" s="430"/>
      <c r="S39" s="430"/>
      <c r="T39" s="431"/>
      <c r="U39">
        <v>10</v>
      </c>
      <c r="Y39" s="79">
        <f t="shared" si="2"/>
        <v>6</v>
      </c>
      <c r="Z39" s="85">
        <f>U$54</f>
        <v>14</v>
      </c>
      <c r="AA39" s="86" t="str">
        <f>$Q$54</f>
        <v>REMY</v>
      </c>
      <c r="AB39" s="85">
        <f>$Q$56</f>
        <v>80</v>
      </c>
      <c r="AC39" s="85">
        <f>$P$56</f>
        <v>31</v>
      </c>
      <c r="AD39" s="85">
        <f>$S$56</f>
        <v>10</v>
      </c>
      <c r="AE39" s="87">
        <f>$T$56</f>
        <v>2</v>
      </c>
      <c r="AF39" s="86" t="str">
        <f>$L$54</f>
        <v>CASIMIR</v>
      </c>
      <c r="AG39" s="105">
        <f t="shared" si="3"/>
        <v>3</v>
      </c>
      <c r="AH39" s="102" t="str">
        <f>AI39&amp;4</f>
        <v>64</v>
      </c>
      <c r="AI39" s="83">
        <f t="shared" si="0"/>
        <v>6</v>
      </c>
      <c r="AJ39" s="85">
        <f>$U$39</f>
        <v>10</v>
      </c>
      <c r="AK39" s="86" t="str">
        <f>$Q$39</f>
        <v>REMY</v>
      </c>
      <c r="AL39" s="85">
        <f>$Q$41</f>
        <v>58</v>
      </c>
      <c r="AM39" s="85">
        <f>$P$41</f>
        <v>39</v>
      </c>
      <c r="AN39" s="85">
        <f>$S$41</f>
        <v>6</v>
      </c>
      <c r="AO39" s="87">
        <f>$T$41</f>
        <v>0</v>
      </c>
      <c r="AP39" s="86" t="str">
        <f>$L$39</f>
        <v>LIS</v>
      </c>
      <c r="AQ39" s="83">
        <f t="shared" si="1"/>
        <v>5</v>
      </c>
    </row>
    <row r="40" spans="1:43" ht="18" customHeight="1">
      <c r="A40" s="1"/>
      <c r="B40" s="8" t="s">
        <v>7</v>
      </c>
      <c r="C40" s="15" t="s">
        <v>6</v>
      </c>
      <c r="D40" s="10" t="s">
        <v>8</v>
      </c>
      <c r="E40" s="10" t="s">
        <v>9</v>
      </c>
      <c r="F40" s="13" t="s">
        <v>10</v>
      </c>
      <c r="G40" s="10" t="s">
        <v>7</v>
      </c>
      <c r="H40" s="15" t="s">
        <v>6</v>
      </c>
      <c r="I40" s="10" t="s">
        <v>8</v>
      </c>
      <c r="J40" s="11" t="s">
        <v>9</v>
      </c>
      <c r="K40" s="19" t="str">
        <f>[0]!NOM3</f>
        <v>CASIMIR</v>
      </c>
      <c r="L40" s="8" t="s">
        <v>7</v>
      </c>
      <c r="M40" s="15" t="s">
        <v>6</v>
      </c>
      <c r="N40" s="10" t="s">
        <v>8</v>
      </c>
      <c r="O40" s="10" t="s">
        <v>9</v>
      </c>
      <c r="P40" s="13" t="s">
        <v>10</v>
      </c>
      <c r="Q40" s="10" t="s">
        <v>7</v>
      </c>
      <c r="R40" s="15" t="s">
        <v>6</v>
      </c>
      <c r="S40" s="10" t="s">
        <v>8</v>
      </c>
      <c r="T40" s="11" t="s">
        <v>9</v>
      </c>
      <c r="Y40" s="79">
        <f t="shared" si="2"/>
        <v>2</v>
      </c>
      <c r="Z40" s="85">
        <f>U$61</f>
        <v>15</v>
      </c>
      <c r="AA40" s="86" t="str">
        <f>$Q$61</f>
        <v>GARDAIS</v>
      </c>
      <c r="AB40" s="85">
        <f>$Q$63</f>
        <v>23</v>
      </c>
      <c r="AC40" s="85">
        <f>$P$63</f>
        <v>19</v>
      </c>
      <c r="AD40" s="85">
        <f>$S$63</f>
        <v>5</v>
      </c>
      <c r="AE40" s="87">
        <f>$T$63</f>
        <v>0</v>
      </c>
      <c r="AF40" s="86" t="str">
        <f>$L$61</f>
        <v>GERARD</v>
      </c>
      <c r="AG40" s="105">
        <f t="shared" si="3"/>
        <v>1</v>
      </c>
      <c r="AH40" s="103" t="str">
        <f>AI40&amp;5</f>
        <v>65</v>
      </c>
      <c r="AI40" s="96">
        <f t="shared" si="0"/>
        <v>6</v>
      </c>
      <c r="AJ40" s="85">
        <f>$U$54</f>
        <v>14</v>
      </c>
      <c r="AK40" s="98" t="str">
        <f>$Q$54</f>
        <v>REMY</v>
      </c>
      <c r="AL40" s="97">
        <f>$Q$56</f>
        <v>80</v>
      </c>
      <c r="AM40" s="97">
        <f>$P$56</f>
        <v>31</v>
      </c>
      <c r="AN40" s="97">
        <f>$S$56</f>
        <v>10</v>
      </c>
      <c r="AO40" s="99">
        <f>$T$56</f>
        <v>2</v>
      </c>
      <c r="AP40" s="98" t="str">
        <f>$L$54</f>
        <v>CASIMIR</v>
      </c>
      <c r="AQ40" s="96">
        <f t="shared" si="1"/>
        <v>3</v>
      </c>
    </row>
    <row r="41" spans="1:20" ht="26.25" customHeight="1" thickBot="1">
      <c r="A41" s="1"/>
      <c r="B41" s="354">
        <v>80</v>
      </c>
      <c r="C41" s="402">
        <f>IF(F41=0,"",B41/F41)</f>
        <v>2.5</v>
      </c>
      <c r="D41" s="355">
        <v>13</v>
      </c>
      <c r="E41" s="356">
        <f>IF(F41=0,"",IF(B41&gt;G41,2,IF(B41=G41,1,0)))</f>
        <v>2</v>
      </c>
      <c r="F41" s="58">
        <v>32</v>
      </c>
      <c r="G41" s="354">
        <v>48</v>
      </c>
      <c r="H41" s="402">
        <f>IF(F41=0,"",G41/F41)</f>
        <v>1.5</v>
      </c>
      <c r="I41" s="355">
        <v>5</v>
      </c>
      <c r="J41" s="356">
        <f>IF(F41=0,"",IF(G41&gt;B41,2,IF(G41=B41,1,0)))</f>
        <v>0</v>
      </c>
      <c r="K41" s="6"/>
      <c r="L41" s="354">
        <v>80</v>
      </c>
      <c r="M41" s="402">
        <f>IF(P41=0,"",L41/P41)</f>
        <v>2.051282051282051</v>
      </c>
      <c r="N41" s="355">
        <v>11</v>
      </c>
      <c r="O41" s="356">
        <f>IF(P41=0,"",IF(L41&gt;Q41,2,IF(L41=Q41,1,0)))</f>
        <v>2</v>
      </c>
      <c r="P41" s="58">
        <v>39</v>
      </c>
      <c r="Q41" s="354">
        <v>58</v>
      </c>
      <c r="R41" s="402">
        <f>IF(P41=0,"",Q41/P41)</f>
        <v>1.4871794871794872</v>
      </c>
      <c r="S41" s="355">
        <v>6</v>
      </c>
      <c r="T41" s="356">
        <f>IF(P41=0,"",IF(Q41&gt;L41,2,IF(Q41=L41,1,0)))</f>
        <v>0</v>
      </c>
    </row>
    <row r="42" spans="1:16" ht="23.25" customHeight="1" thickBot="1">
      <c r="A42" s="1"/>
      <c r="B42" s="6"/>
      <c r="C42" s="6"/>
      <c r="D42" s="6"/>
      <c r="E42" s="6"/>
      <c r="F42" s="18"/>
      <c r="G42" s="6"/>
      <c r="H42" s="7"/>
      <c r="I42" s="6"/>
      <c r="J42" s="6"/>
      <c r="K42" s="1"/>
      <c r="P42" s="54"/>
    </row>
    <row r="43" spans="1:21" ht="30.75" customHeight="1" thickBot="1" thickTop="1">
      <c r="A43" s="237"/>
      <c r="B43" s="237"/>
      <c r="C43" s="237"/>
      <c r="D43" s="237"/>
      <c r="E43" s="237"/>
      <c r="F43" s="238"/>
      <c r="G43" s="237"/>
      <c r="H43" s="239"/>
      <c r="I43" s="237"/>
      <c r="J43" s="237"/>
      <c r="K43" s="242" t="s">
        <v>98</v>
      </c>
      <c r="L43" s="240"/>
      <c r="M43" s="240"/>
      <c r="N43" s="240"/>
      <c r="O43" s="240"/>
      <c r="P43" s="241"/>
      <c r="Q43" s="240"/>
      <c r="R43" s="240"/>
      <c r="S43" s="240"/>
      <c r="T43" s="240"/>
      <c r="U43" s="240"/>
    </row>
    <row r="44" spans="1:27" ht="36.75" customHeight="1" thickTop="1">
      <c r="A44" s="21"/>
      <c r="B44" s="235"/>
      <c r="C44" s="22"/>
      <c r="D44" s="22"/>
      <c r="E44" s="22"/>
      <c r="F44" s="55"/>
      <c r="G44" s="22"/>
      <c r="H44" s="22"/>
      <c r="I44" s="231"/>
      <c r="J44" s="232" t="s">
        <v>96</v>
      </c>
      <c r="K44" s="233">
        <v>6</v>
      </c>
      <c r="L44" s="234">
        <f>IF(K44=K51,AA44,IF(K51=K58,AA44,IF(K44=K58,AA44,"")))</f>
      </c>
      <c r="M44" s="22"/>
      <c r="N44" s="22"/>
      <c r="O44" s="22"/>
      <c r="P44" s="55"/>
      <c r="Q44" s="22"/>
      <c r="R44" s="22"/>
      <c r="S44" s="22"/>
      <c r="T44" s="22"/>
      <c r="U44" s="22"/>
      <c r="AA44" s="214" t="s">
        <v>97</v>
      </c>
    </row>
    <row r="45" spans="1:16" ht="21.75" customHeight="1" thickBot="1">
      <c r="A45" s="1"/>
      <c r="B45" s="236"/>
      <c r="C45" s="7"/>
      <c r="D45" s="6"/>
      <c r="E45" s="6"/>
      <c r="F45" s="18"/>
      <c r="G45" s="6"/>
      <c r="H45" s="7"/>
      <c r="I45" s="6"/>
      <c r="J45" s="6"/>
      <c r="K45" s="6"/>
      <c r="P45" s="54"/>
    </row>
    <row r="46" spans="1:20" ht="18.75" customHeight="1">
      <c r="A46" s="1"/>
      <c r="B46" s="42"/>
      <c r="C46" s="50" t="s">
        <v>63</v>
      </c>
      <c r="D46" s="43"/>
      <c r="E46" s="43"/>
      <c r="F46" s="61" t="s">
        <v>50</v>
      </c>
      <c r="G46" s="62"/>
      <c r="H46" s="63"/>
      <c r="I46" s="61" t="s">
        <v>66</v>
      </c>
      <c r="J46" s="64"/>
      <c r="K46" s="20" t="s">
        <v>40</v>
      </c>
      <c r="L46" s="42"/>
      <c r="M46" s="50" t="s">
        <v>41</v>
      </c>
      <c r="N46" s="43"/>
      <c r="O46" s="43"/>
      <c r="P46" s="61" t="s">
        <v>54</v>
      </c>
      <c r="Q46" s="62"/>
      <c r="R46" s="63"/>
      <c r="S46" s="62" t="s">
        <v>45</v>
      </c>
      <c r="T46" s="64"/>
    </row>
    <row r="47" spans="1:21" ht="29.25" customHeight="1">
      <c r="A47" s="88">
        <f>IF(K44=6,11,IF(K44=8,14,IF(K44=7,IF(K58=6,12,13))))</f>
        <v>11</v>
      </c>
      <c r="B47" s="429" t="str">
        <f>[0]!NOM1</f>
        <v>GERARD</v>
      </c>
      <c r="C47" s="430"/>
      <c r="D47" s="430"/>
      <c r="E47" s="431"/>
      <c r="F47" s="57"/>
      <c r="G47" s="429" t="str">
        <f>[0]!NOM3</f>
        <v>CASIMIR</v>
      </c>
      <c r="H47" s="430"/>
      <c r="I47" s="430"/>
      <c r="J47" s="431"/>
      <c r="K47" s="19" t="str">
        <f>[0]!NOM5</f>
        <v>LIS</v>
      </c>
      <c r="L47" s="429" t="str">
        <f>[0]!NOM2</f>
        <v>GARDAIS</v>
      </c>
      <c r="M47" s="430"/>
      <c r="N47" s="430"/>
      <c r="O47" s="431"/>
      <c r="P47" s="57"/>
      <c r="Q47" s="429" t="str">
        <f>[0]!NOM4</f>
        <v>DUFFAUD</v>
      </c>
      <c r="R47" s="430"/>
      <c r="S47" s="430"/>
      <c r="T47" s="431"/>
      <c r="U47">
        <f>A47+1</f>
        <v>12</v>
      </c>
    </row>
    <row r="48" spans="1:20" ht="18" customHeight="1">
      <c r="A48" s="1"/>
      <c r="B48" s="8" t="s">
        <v>7</v>
      </c>
      <c r="C48" s="15" t="s">
        <v>6</v>
      </c>
      <c r="D48" s="10" t="s">
        <v>8</v>
      </c>
      <c r="E48" s="10" t="s">
        <v>9</v>
      </c>
      <c r="F48" s="13" t="s">
        <v>10</v>
      </c>
      <c r="G48" s="10" t="s">
        <v>7</v>
      </c>
      <c r="H48" s="15" t="s">
        <v>6</v>
      </c>
      <c r="I48" s="10" t="s">
        <v>8</v>
      </c>
      <c r="J48" s="11" t="s">
        <v>9</v>
      </c>
      <c r="K48" s="19" t="str">
        <f>[0]!NOM6</f>
        <v>REMY</v>
      </c>
      <c r="L48" s="8" t="s">
        <v>7</v>
      </c>
      <c r="M48" s="15" t="s">
        <v>6</v>
      </c>
      <c r="N48" s="10" t="s">
        <v>8</v>
      </c>
      <c r="O48" s="10" t="s">
        <v>9</v>
      </c>
      <c r="P48" s="13" t="s">
        <v>10</v>
      </c>
      <c r="Q48" s="10" t="s">
        <v>7</v>
      </c>
      <c r="R48" s="15" t="s">
        <v>6</v>
      </c>
      <c r="S48" s="10" t="s">
        <v>8</v>
      </c>
      <c r="T48" s="11" t="s">
        <v>9</v>
      </c>
    </row>
    <row r="49" spans="1:20" ht="26.25" customHeight="1" thickBot="1">
      <c r="A49" s="1"/>
      <c r="B49" s="354">
        <v>80</v>
      </c>
      <c r="C49" s="402">
        <f>IF(F49=0,"",B49/F49)</f>
        <v>2.2857142857142856</v>
      </c>
      <c r="D49" s="355">
        <v>13</v>
      </c>
      <c r="E49" s="356">
        <f>IF(F49=0,"",IF(B49&gt;G49,2,IF(B49=G49,1,0)))</f>
        <v>2</v>
      </c>
      <c r="F49" s="58">
        <v>35</v>
      </c>
      <c r="G49" s="354">
        <v>55</v>
      </c>
      <c r="H49" s="402">
        <f>IF(F49=0,"",G49/F49)</f>
        <v>1.5714285714285714</v>
      </c>
      <c r="I49" s="355">
        <v>6</v>
      </c>
      <c r="J49" s="356">
        <f>IF(F49=0,"",IF(G49&gt;B49,2,IF(G49=B49,1,0)))</f>
        <v>0</v>
      </c>
      <c r="K49" s="6"/>
      <c r="L49" s="354">
        <v>80</v>
      </c>
      <c r="M49" s="402">
        <f>IF(P49=0,"",L49/P49)</f>
        <v>2.051282051282051</v>
      </c>
      <c r="N49" s="355">
        <v>10</v>
      </c>
      <c r="O49" s="356">
        <f>IF(P49=0,"",IF(L49&gt;Q49,2,IF(L49=Q49,1,0)))</f>
        <v>2</v>
      </c>
      <c r="P49" s="58">
        <v>39</v>
      </c>
      <c r="Q49" s="354">
        <v>71</v>
      </c>
      <c r="R49" s="402">
        <f>IF(P49=0,"",Q49/P49)</f>
        <v>1.8205128205128205</v>
      </c>
      <c r="S49" s="355">
        <v>7</v>
      </c>
      <c r="T49" s="356">
        <f>IF(P49=0,"",IF(Q49&gt;L49,2,IF(Q49=L49,1,0)))</f>
        <v>0</v>
      </c>
    </row>
    <row r="50" spans="1:16" ht="23.25" customHeight="1" thickBot="1">
      <c r="A50" s="1"/>
      <c r="F50" s="54"/>
      <c r="K50" s="6"/>
      <c r="P50" s="54"/>
    </row>
    <row r="51" spans="1:21" ht="38.25" customHeight="1" thickTop="1">
      <c r="A51" s="21"/>
      <c r="B51" s="22"/>
      <c r="C51" s="22"/>
      <c r="D51" s="22"/>
      <c r="E51" s="22"/>
      <c r="F51" s="55"/>
      <c r="G51" s="22"/>
      <c r="H51" s="22"/>
      <c r="I51" s="22"/>
      <c r="J51" s="230" t="s">
        <v>96</v>
      </c>
      <c r="K51" s="233">
        <v>7</v>
      </c>
      <c r="L51" s="234">
        <f>L44</f>
      </c>
      <c r="M51" s="22"/>
      <c r="N51" s="22"/>
      <c r="O51" s="22"/>
      <c r="P51" s="55"/>
      <c r="Q51" s="22"/>
      <c r="R51" s="22"/>
      <c r="S51" s="22"/>
      <c r="T51" s="22"/>
      <c r="U51" s="22"/>
    </row>
    <row r="52" spans="1:16" ht="23.25" customHeight="1" thickBot="1">
      <c r="A52" s="1"/>
      <c r="F52" s="54"/>
      <c r="K52" s="6"/>
      <c r="P52" s="54"/>
    </row>
    <row r="53" spans="1:20" ht="18" customHeight="1">
      <c r="A53" s="1"/>
      <c r="B53" s="44"/>
      <c r="C53" s="49" t="s">
        <v>62</v>
      </c>
      <c r="D53" s="45"/>
      <c r="E53" s="45"/>
      <c r="F53" s="59" t="s">
        <v>51</v>
      </c>
      <c r="G53" s="45"/>
      <c r="H53" s="46"/>
      <c r="I53" s="49" t="s">
        <v>66</v>
      </c>
      <c r="J53" s="47"/>
      <c r="K53" s="20" t="s">
        <v>40</v>
      </c>
      <c r="L53" s="44"/>
      <c r="M53" s="49" t="s">
        <v>62</v>
      </c>
      <c r="N53" s="45"/>
      <c r="O53" s="45"/>
      <c r="P53" s="59" t="s">
        <v>52</v>
      </c>
      <c r="Q53" s="45"/>
      <c r="R53" s="46"/>
      <c r="S53" s="60" t="s">
        <v>45</v>
      </c>
      <c r="T53" s="47"/>
    </row>
    <row r="54" spans="1:21" ht="29.25" customHeight="1">
      <c r="A54" s="88">
        <f>IF(K51=6,11,IF(K51=8,14,IF(K51=7,IF(K44=6,13,12))))</f>
        <v>13</v>
      </c>
      <c r="B54" s="429" t="str">
        <f>[0]!NOM4</f>
        <v>DUFFAUD</v>
      </c>
      <c r="C54" s="430"/>
      <c r="D54" s="430"/>
      <c r="E54" s="431"/>
      <c r="F54" s="12"/>
      <c r="G54" s="429" t="str">
        <f>[0]!NOM5</f>
        <v>LIS</v>
      </c>
      <c r="H54" s="430"/>
      <c r="I54" s="430"/>
      <c r="J54" s="431"/>
      <c r="K54" s="19" t="str">
        <f>[0]!NOM1</f>
        <v>GERARD</v>
      </c>
      <c r="L54" s="429" t="str">
        <f>[0]!NOM3</f>
        <v>CASIMIR</v>
      </c>
      <c r="M54" s="430"/>
      <c r="N54" s="430"/>
      <c r="O54" s="431"/>
      <c r="P54" s="57"/>
      <c r="Q54" s="429" t="str">
        <f>[0]!NOM6</f>
        <v>REMY</v>
      </c>
      <c r="R54" s="430"/>
      <c r="S54" s="430"/>
      <c r="T54" s="431"/>
      <c r="U54">
        <f>A54+1</f>
        <v>14</v>
      </c>
    </row>
    <row r="55" spans="1:20" ht="17.25" customHeight="1">
      <c r="A55" s="6"/>
      <c r="B55" s="8" t="s">
        <v>7</v>
      </c>
      <c r="C55" s="15" t="s">
        <v>6</v>
      </c>
      <c r="D55" s="10" t="s">
        <v>8</v>
      </c>
      <c r="E55" s="10" t="s">
        <v>9</v>
      </c>
      <c r="F55" s="13" t="s">
        <v>10</v>
      </c>
      <c r="G55" s="10" t="s">
        <v>7</v>
      </c>
      <c r="H55" s="15" t="s">
        <v>6</v>
      </c>
      <c r="I55" s="10" t="s">
        <v>8</v>
      </c>
      <c r="J55" s="11" t="s">
        <v>9</v>
      </c>
      <c r="K55" s="19" t="str">
        <f>[0]!NOM2</f>
        <v>GARDAIS</v>
      </c>
      <c r="L55" s="8" t="s">
        <v>7</v>
      </c>
      <c r="M55" s="15" t="s">
        <v>6</v>
      </c>
      <c r="N55" s="10" t="s">
        <v>8</v>
      </c>
      <c r="O55" s="10" t="s">
        <v>9</v>
      </c>
      <c r="P55" s="13" t="s">
        <v>10</v>
      </c>
      <c r="Q55" s="10" t="s">
        <v>7</v>
      </c>
      <c r="R55" s="15" t="s">
        <v>6</v>
      </c>
      <c r="S55" s="10" t="s">
        <v>8</v>
      </c>
      <c r="T55" s="11" t="s">
        <v>9</v>
      </c>
    </row>
    <row r="56" spans="1:20" ht="27" customHeight="1" thickBot="1">
      <c r="A56" s="1"/>
      <c r="B56" s="354">
        <v>53</v>
      </c>
      <c r="C56" s="402">
        <f>IF(F56=0,"",B56/F56)</f>
        <v>1.394736842105263</v>
      </c>
      <c r="D56" s="355">
        <v>6</v>
      </c>
      <c r="E56" s="356">
        <f>IF(F56=0,"",IF(B56&gt;G56,2,IF(B56=G56,1,0)))</f>
        <v>0</v>
      </c>
      <c r="F56" s="58">
        <v>38</v>
      </c>
      <c r="G56" s="354">
        <v>80</v>
      </c>
      <c r="H56" s="402">
        <f>IF(F56=0,"",G56/F56)</f>
        <v>2.1052631578947367</v>
      </c>
      <c r="I56" s="355">
        <v>8</v>
      </c>
      <c r="J56" s="356">
        <f>IF(F56=0,"",IF(G56&gt;B56,2,IF(G56=B56,1,0)))</f>
        <v>2</v>
      </c>
      <c r="K56" s="6"/>
      <c r="L56" s="354">
        <v>39</v>
      </c>
      <c r="M56" s="402">
        <f>IF(P56=0,"",L56/P56)</f>
        <v>1.2580645161290323</v>
      </c>
      <c r="N56" s="355">
        <v>8</v>
      </c>
      <c r="O56" s="356">
        <f>IF(P56=0,"",IF(L56&gt;Q56,2,IF(L56=Q56,1,0)))</f>
        <v>0</v>
      </c>
      <c r="P56" s="58">
        <v>31</v>
      </c>
      <c r="Q56" s="354">
        <v>80</v>
      </c>
      <c r="R56" s="402">
        <f>IF(P56=0,"",Q56/P56)</f>
        <v>2.5806451612903225</v>
      </c>
      <c r="S56" s="355">
        <v>10</v>
      </c>
      <c r="T56" s="356">
        <f>IF(P56=0,"",IF(Q56&gt;L56,2,IF(Q56=L56,1,0)))</f>
        <v>2</v>
      </c>
    </row>
    <row r="57" spans="1:16" ht="23.25" customHeight="1" thickBot="1">
      <c r="A57" s="1"/>
      <c r="K57" s="6"/>
      <c r="P57" s="54"/>
    </row>
    <row r="58" spans="1:21" ht="38.25" customHeight="1" thickTop="1">
      <c r="A58" s="21"/>
      <c r="B58" s="22"/>
      <c r="C58" s="55"/>
      <c r="D58" s="22"/>
      <c r="E58" s="22"/>
      <c r="F58" s="22"/>
      <c r="G58" s="22"/>
      <c r="H58" s="22"/>
      <c r="I58" s="22"/>
      <c r="J58" s="230" t="s">
        <v>96</v>
      </c>
      <c r="K58" s="233">
        <v>8</v>
      </c>
      <c r="L58" s="234">
        <f>L44</f>
      </c>
      <c r="M58" s="22"/>
      <c r="N58" s="22"/>
      <c r="O58" s="22"/>
      <c r="P58" s="55"/>
      <c r="Q58" s="22"/>
      <c r="R58" s="22"/>
      <c r="S58" s="22"/>
      <c r="T58" s="22"/>
      <c r="U58" s="22"/>
    </row>
    <row r="59" spans="1:16" ht="23.25" customHeight="1" thickBot="1">
      <c r="A59" s="1"/>
      <c r="K59" s="6"/>
      <c r="P59" s="54"/>
    </row>
    <row r="60" spans="1:20" ht="18.75" customHeight="1">
      <c r="A60" s="1"/>
      <c r="B60" s="6"/>
      <c r="C60" s="29"/>
      <c r="D60" s="6"/>
      <c r="E60" s="6"/>
      <c r="F60" s="6"/>
      <c r="G60" s="6"/>
      <c r="H60" s="7"/>
      <c r="I60" s="6"/>
      <c r="J60" s="48" t="s">
        <v>40</v>
      </c>
      <c r="K60" s="6"/>
      <c r="L60" s="44"/>
      <c r="M60" s="49" t="s">
        <v>62</v>
      </c>
      <c r="N60" s="45"/>
      <c r="O60" s="45"/>
      <c r="P60" s="59" t="s">
        <v>53</v>
      </c>
      <c r="Q60" s="45"/>
      <c r="R60" s="46"/>
      <c r="S60" s="60" t="s">
        <v>45</v>
      </c>
      <c r="T60" s="47"/>
    </row>
    <row r="61" spans="1:21" ht="29.25" customHeight="1">
      <c r="A61" s="1"/>
      <c r="B61" s="433"/>
      <c r="C61" s="433"/>
      <c r="D61" s="433"/>
      <c r="E61" s="433"/>
      <c r="F61" s="6"/>
      <c r="G61" s="6"/>
      <c r="H61" s="16"/>
      <c r="I61" s="28" t="str">
        <f>[0]!NOM5</f>
        <v>LIS</v>
      </c>
      <c r="J61" s="6"/>
      <c r="K61" s="28" t="str">
        <f>[0]!NOM3</f>
        <v>CASIMIR</v>
      </c>
      <c r="L61" s="429" t="str">
        <f>[0]!NOM1</f>
        <v>GERARD</v>
      </c>
      <c r="M61" s="430"/>
      <c r="N61" s="430"/>
      <c r="O61" s="431"/>
      <c r="P61" s="12"/>
      <c r="Q61" s="429" t="str">
        <f>[0]!NOM2</f>
        <v>GARDAIS</v>
      </c>
      <c r="R61" s="430"/>
      <c r="S61" s="430"/>
      <c r="T61" s="431"/>
      <c r="U61">
        <f>IF(K58=6,11,IF(K58=8,15,13))</f>
        <v>15</v>
      </c>
    </row>
    <row r="62" spans="1:20" ht="17.25" customHeight="1">
      <c r="A62" s="1"/>
      <c r="B62" s="10"/>
      <c r="C62" s="15"/>
      <c r="D62" s="10"/>
      <c r="E62" s="10"/>
      <c r="F62" s="14"/>
      <c r="G62" s="10"/>
      <c r="H62" s="15"/>
      <c r="I62" s="28" t="str">
        <f>[0]!NOM6</f>
        <v>REMY</v>
      </c>
      <c r="J62" s="10"/>
      <c r="K62" s="28" t="str">
        <f>[0]!NOM4</f>
        <v>DUFFAUD</v>
      </c>
      <c r="L62" s="8" t="s">
        <v>7</v>
      </c>
      <c r="M62" s="15" t="s">
        <v>6</v>
      </c>
      <c r="N62" s="10" t="s">
        <v>8</v>
      </c>
      <c r="O62" s="10" t="s">
        <v>9</v>
      </c>
      <c r="P62" s="13" t="s">
        <v>10</v>
      </c>
      <c r="Q62" s="10" t="s">
        <v>7</v>
      </c>
      <c r="R62" s="15" t="s">
        <v>6</v>
      </c>
      <c r="S62" s="10" t="s">
        <v>8</v>
      </c>
      <c r="T62" s="11" t="s">
        <v>9</v>
      </c>
    </row>
    <row r="63" spans="1:20" ht="27" customHeight="1" thickBot="1">
      <c r="A63" s="1"/>
      <c r="B63" s="30"/>
      <c r="C63" s="31"/>
      <c r="D63" s="30"/>
      <c r="E63" s="32"/>
      <c r="F63" s="30"/>
      <c r="G63" s="30"/>
      <c r="H63" s="31"/>
      <c r="I63" s="30"/>
      <c r="J63" s="32"/>
      <c r="K63" s="6"/>
      <c r="L63" s="354">
        <v>80</v>
      </c>
      <c r="M63" s="402">
        <f>IF(P63=0,"",L63/P63)</f>
        <v>4.2105263157894735</v>
      </c>
      <c r="N63" s="355">
        <v>17</v>
      </c>
      <c r="O63" s="356">
        <f>IF(P63=0,"",IF(L63&gt;Q63,2,IF(L63=Q63,1,0)))</f>
        <v>2</v>
      </c>
      <c r="P63" s="58">
        <v>19</v>
      </c>
      <c r="Q63" s="354">
        <v>23</v>
      </c>
      <c r="R63" s="402">
        <f>IF(P63=0,"",Q63/P63)</f>
        <v>1.2105263157894737</v>
      </c>
      <c r="S63" s="355">
        <v>5</v>
      </c>
      <c r="T63" s="356">
        <f>IF(P63=0,"",IF(Q63&gt;L63,2,IF(Q63=L63,1,0)))</f>
        <v>0</v>
      </c>
    </row>
    <row r="64" spans="1:11" ht="15">
      <c r="A64" s="1"/>
      <c r="K64" s="6"/>
    </row>
    <row r="65" spans="1:11" ht="1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sheetProtection sheet="1" objects="1" scenarios="1"/>
  <mergeCells count="40">
    <mergeCell ref="Q61:T61"/>
    <mergeCell ref="Q47:T47"/>
    <mergeCell ref="B54:E54"/>
    <mergeCell ref="Y7:AG7"/>
    <mergeCell ref="G47:J47"/>
    <mergeCell ref="L47:O47"/>
    <mergeCell ref="L54:O54"/>
    <mergeCell ref="L61:O61"/>
    <mergeCell ref="B61:E61"/>
    <mergeCell ref="Q39:T39"/>
    <mergeCell ref="AH7:AQ7"/>
    <mergeCell ref="J15:L15"/>
    <mergeCell ref="A5:B7"/>
    <mergeCell ref="T5:U7"/>
    <mergeCell ref="J8:L8"/>
    <mergeCell ref="L25:O25"/>
    <mergeCell ref="Q25:T25"/>
    <mergeCell ref="J22:L22"/>
    <mergeCell ref="G18:J18"/>
    <mergeCell ref="L18:O18"/>
    <mergeCell ref="Q32:T32"/>
    <mergeCell ref="J36:L36"/>
    <mergeCell ref="J29:L29"/>
    <mergeCell ref="G54:J54"/>
    <mergeCell ref="Q54:T54"/>
    <mergeCell ref="B47:E47"/>
    <mergeCell ref="G39:J39"/>
    <mergeCell ref="B32:E32"/>
    <mergeCell ref="G32:J32"/>
    <mergeCell ref="B39:E39"/>
    <mergeCell ref="L39:O39"/>
    <mergeCell ref="L32:O32"/>
    <mergeCell ref="B25:E25"/>
    <mergeCell ref="G25:J25"/>
    <mergeCell ref="Q18:T18"/>
    <mergeCell ref="L11:O11"/>
    <mergeCell ref="Q11:T11"/>
    <mergeCell ref="B11:E11"/>
    <mergeCell ref="G11:J11"/>
    <mergeCell ref="B18:E18"/>
  </mergeCells>
  <conditionalFormatting sqref="B13 D13 F13:G13 I13 L13 N13 P13:Q13 S13 L20 N20 P20:Q20 S20 B20 D20 F20:G20 I20 B27 D27 F27:G27 I27 L27 N27 P27:Q27 S27 B34 D34 F34:G34 I34 L34 N34 P34:Q34 S34 L41 N41 P41:Q41 S41 B41 D41 F41:G41 I41 B49 D49 F49:G49 I49 L49 N49 P49:Q49 S49 L56 N56 P56:Q56 S56 B56 D56 F56:G56 I56 L63 N63 P63:Q63 S63">
    <cfRule type="cellIs" priority="1" dxfId="7" operator="equal" stopIfTrue="1">
      <formula>$A$15</formula>
    </cfRule>
  </conditionalFormatting>
  <dataValidations count="4">
    <dataValidation allowBlank="1" showInputMessage="1" showErrorMessage="1" prompt="points" sqref="B13 G13 L13 Q13 B20 G20 L20 Q20 B27 G27 L27 Q27 B34 G34 L34 Q34 B41 G41 L41 Q41 B49 G49 L49 Q49 B56 G56 L56 Q56 L63 Q63"/>
    <dataValidation allowBlank="1" showInputMessage="1" showErrorMessage="1" prompt="série" sqref="D13 I13 N13 S13 D20 I20 N20 S20 D27 I27 N27 S27 D34 I34 N34 S34 D41 I41 N41 S41 D49 I49 N49 S49 D56 I56 N56 S56 N63 S63"/>
    <dataValidation allowBlank="1" showInputMessage="1" showErrorMessage="1" prompt="reprises" sqref="F13 P13 F20 P20 F27 P27 F34 P34 F41 P41 F49 P49 P56 F56 P63"/>
    <dataValidation type="whole" allowBlank="1" showInputMessage="1" showErrorMessage="1" promptTitle="Indiquer le N°" prompt="de séance (6 à 8)&#10;" sqref="K44 K51 K58">
      <formula1>6</formula1>
      <formula2>8</formula2>
    </dataValidation>
  </dataValidations>
  <printOptions horizontalCentered="1" verticalCentered="1"/>
  <pageMargins left="0.11811023622047245" right="0.07874015748031496" top="0.15748031496062992" bottom="0.2755905511811024" header="0" footer="0"/>
  <pageSetup horizontalDpi="300" verticalDpi="300" orientation="portrait" paperSize="9" scale="5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E55"/>
  <sheetViews>
    <sheetView showGridLines="0" tabSelected="1" zoomScale="75" zoomScaleNormal="75" zoomScalePageLayoutView="0" workbookViewId="0" topLeftCell="A8">
      <selection activeCell="B1" sqref="B1:T1"/>
    </sheetView>
  </sheetViews>
  <sheetFormatPr defaultColWidth="9.6640625" defaultRowHeight="15"/>
  <cols>
    <col min="1" max="1" width="1.88671875" style="0" customWidth="1"/>
    <col min="2" max="2" width="18.3359375" style="0" bestFit="1" customWidth="1"/>
    <col min="3" max="3" width="7.6640625" style="0" customWidth="1"/>
    <col min="4" max="4" width="3.6640625" style="0" customWidth="1"/>
    <col min="5" max="6" width="7.6640625" style="0" customWidth="1"/>
    <col min="7" max="7" width="3.6640625" style="0" customWidth="1"/>
    <col min="8" max="9" width="7.6640625" style="0" customWidth="1"/>
    <col min="10" max="10" width="3.6640625" style="0" customWidth="1"/>
    <col min="11" max="12" width="7.6640625" style="0" customWidth="1"/>
    <col min="13" max="13" width="3.6640625" style="0" customWidth="1"/>
    <col min="14" max="14" width="7.6640625" style="0" customWidth="1"/>
    <col min="15" max="15" width="7.4453125" style="0" customWidth="1"/>
    <col min="16" max="16" width="3.6640625" style="0" customWidth="1"/>
    <col min="17" max="18" width="7.6640625" style="0" customWidth="1"/>
    <col min="19" max="19" width="3.6640625" style="0" customWidth="1"/>
    <col min="20" max="20" width="7.6640625" style="0" customWidth="1"/>
    <col min="21" max="21" width="6.99609375" style="0" customWidth="1"/>
    <col min="22" max="22" width="9.6640625" style="0" customWidth="1"/>
    <col min="23" max="23" width="13.6640625" style="0" bestFit="1" customWidth="1"/>
    <col min="24" max="24" width="6.5546875" style="0" bestFit="1" customWidth="1"/>
    <col min="25" max="25" width="6.77734375" style="0" bestFit="1" customWidth="1"/>
    <col min="26" max="26" width="8.5546875" style="0" bestFit="1" customWidth="1"/>
    <col min="27" max="27" width="10.3359375" style="0" bestFit="1" customWidth="1"/>
    <col min="28" max="28" width="8.5546875" style="0" bestFit="1" customWidth="1"/>
    <col min="29" max="29" width="7.88671875" style="0" bestFit="1" customWidth="1"/>
    <col min="30" max="31" width="6.77734375" style="0" bestFit="1" customWidth="1"/>
  </cols>
  <sheetData>
    <row r="1" spans="1:20" ht="32.25" customHeight="1">
      <c r="A1" s="1"/>
      <c r="B1" s="496" t="str">
        <f>lieue</f>
        <v>BILLARD CLUB SAINT-GAUDENS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</row>
    <row r="2" spans="1:20" ht="17.25" customHeight="1">
      <c r="A2" s="1"/>
      <c r="B2" s="494" t="s">
        <v>175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</row>
    <row r="3" spans="1:20" ht="12.75" customHeight="1">
      <c r="A3" s="1"/>
      <c r="B3" s="184"/>
      <c r="C3" s="464" t="s">
        <v>16</v>
      </c>
      <c r="D3" s="465"/>
      <c r="E3" s="465"/>
      <c r="F3" s="464" t="s">
        <v>17</v>
      </c>
      <c r="G3" s="465"/>
      <c r="H3" s="465"/>
      <c r="I3" s="464" t="s">
        <v>18</v>
      </c>
      <c r="J3" s="465"/>
      <c r="K3" s="465"/>
      <c r="L3" s="464" t="s">
        <v>19</v>
      </c>
      <c r="M3" s="465"/>
      <c r="N3" s="465"/>
      <c r="O3" s="464" t="s">
        <v>60</v>
      </c>
      <c r="P3" s="465"/>
      <c r="Q3" s="465"/>
      <c r="R3" s="464" t="s">
        <v>61</v>
      </c>
      <c r="S3" s="465"/>
      <c r="T3" s="465"/>
    </row>
    <row r="4" spans="1:20" ht="22.5" customHeight="1">
      <c r="A4" s="1"/>
      <c r="B4" s="183"/>
      <c r="C4" s="466" t="str">
        <f>modjeu</f>
        <v>BANDE</v>
      </c>
      <c r="D4" s="468"/>
      <c r="E4" s="466"/>
      <c r="F4" s="466" t="str">
        <f>design1</f>
        <v>NATIONALE 2</v>
      </c>
      <c r="G4" s="468"/>
      <c r="H4" s="466"/>
      <c r="I4" s="466" t="str">
        <f>bill</f>
        <v>2m80</v>
      </c>
      <c r="J4" s="467"/>
      <c r="K4" s="467"/>
      <c r="L4" s="466" t="str">
        <f>DISTANCE&amp;" pts"</f>
        <v>80 pts</v>
      </c>
      <c r="M4" s="467"/>
      <c r="N4" s="467"/>
      <c r="O4" s="469" t="str">
        <f>design2</f>
        <v>LIGUE</v>
      </c>
      <c r="P4" s="470"/>
      <c r="Q4" s="470"/>
      <c r="R4" s="466" t="str">
        <f>poul</f>
        <v>UNIQUE</v>
      </c>
      <c r="S4" s="467"/>
      <c r="T4" s="467"/>
    </row>
    <row r="5" spans="1:20" ht="6.75" customHeight="1">
      <c r="A5" s="1"/>
      <c r="B5" s="72"/>
      <c r="C5" s="36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6" customHeight="1" thickBot="1">
      <c r="A6" s="1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</row>
    <row r="7" spans="1:22" ht="21.75" customHeight="1">
      <c r="A7" s="1"/>
      <c r="B7" s="360" t="s">
        <v>172</v>
      </c>
      <c r="C7" s="491" t="str">
        <f>B8</f>
        <v>GERARD</v>
      </c>
      <c r="D7" s="489"/>
      <c r="E7" s="492"/>
      <c r="F7" s="489" t="str">
        <f>B12</f>
        <v>GARDAIS</v>
      </c>
      <c r="G7" s="493"/>
      <c r="H7" s="489"/>
      <c r="I7" s="488" t="str">
        <f>B16</f>
        <v>CASIMIR</v>
      </c>
      <c r="J7" s="489"/>
      <c r="K7" s="490"/>
      <c r="L7" s="489" t="str">
        <f>B20</f>
        <v>DUFFAUD</v>
      </c>
      <c r="M7" s="489"/>
      <c r="N7" s="489"/>
      <c r="O7" s="488" t="str">
        <f>B24</f>
        <v>LIS</v>
      </c>
      <c r="P7" s="489"/>
      <c r="Q7" s="490"/>
      <c r="R7" s="489" t="str">
        <f>B28</f>
        <v>REMY</v>
      </c>
      <c r="S7" s="489"/>
      <c r="T7" s="505"/>
      <c r="V7" s="24"/>
    </row>
    <row r="8" spans="1:22" ht="15.75" customHeight="1">
      <c r="A8" s="1"/>
      <c r="B8" s="486" t="str">
        <f>[0]!NOM1</f>
        <v>GERARD</v>
      </c>
      <c r="C8" s="475" t="s">
        <v>173</v>
      </c>
      <c r="D8" s="476"/>
      <c r="E8" s="477"/>
      <c r="F8" s="471">
        <f>IF(VLOOKUP($F$7,un,1,FALSE)=$F$7,VLOOKUP($F$7,un,2,FALSE),"")</f>
        <v>80</v>
      </c>
      <c r="G8" s="227">
        <f>IF(H8="","",VLOOKUP(F$7,ordre1,10,FALSE))</f>
        <v>5</v>
      </c>
      <c r="H8" s="473">
        <f>IF(VLOOKUP($F$7,un,1,FALSE)=$F$7,VLOOKUP($F$7,un,3,FALSE),"")</f>
        <v>19</v>
      </c>
      <c r="I8" s="471">
        <f>IF(VLOOKUP($I$7,un,1,FALSE)=$I$7,VLOOKUP($I$7,un,2,FALSE),"")</f>
        <v>80</v>
      </c>
      <c r="J8" s="227">
        <f>IF(K8="","",VLOOKUP(I$7,ordre1,10,FALSE))</f>
        <v>4</v>
      </c>
      <c r="K8" s="473">
        <f>IF(VLOOKUP($I$7,un,1,FALSE)=$I$7,VLOOKUP($I$7,un,3,FALSE),"")</f>
        <v>35</v>
      </c>
      <c r="L8" s="471">
        <f>IF(VLOOKUP($L$7,un,1,FALSE)=$L$7,VLOOKUP($L$7,un,2,FALSE),"")</f>
        <v>80</v>
      </c>
      <c r="M8" s="227">
        <f>IF(N8="","",VLOOKUP(L$7,ordre1,10,FALSE))</f>
        <v>3</v>
      </c>
      <c r="N8" s="473">
        <f>IF(VLOOKUP($L$7,un,1,FALSE)=$L$7,VLOOKUP($L$7,un,3,FALSE),"")</f>
        <v>32</v>
      </c>
      <c r="O8" s="471">
        <f>IF(VLOOKUP($O$7,un,1,FALSE)=$O$7,VLOOKUP($O$7,un,2,FALSE),"")</f>
        <v>80</v>
      </c>
      <c r="P8" s="227">
        <f>IF(Q8="","",VLOOKUP(O$7,ordre1,10,FALSE))</f>
        <v>2</v>
      </c>
      <c r="Q8" s="473">
        <f>IF(VLOOKUP($O$7,un,1,FALSE)=$O$7,VLOOKUP($O$7,un,3,FALSE),"")</f>
        <v>25</v>
      </c>
      <c r="R8" s="471">
        <f>IF(VLOOKUP($R$7,un,1,FALSE)=$R$7,VLOOKUP($R$7,un,2,FALSE),"")</f>
        <v>80</v>
      </c>
      <c r="S8" s="227">
        <f>IF(T8="","",VLOOKUP(R$7,ordre1,10,FALSE))</f>
        <v>1</v>
      </c>
      <c r="T8" s="506">
        <f>IF(VLOOKUP($R$7,un,1,FALSE)=$R$7,VLOOKUP($R$7,un,3,FALSE),"")</f>
        <v>33</v>
      </c>
      <c r="V8" s="3"/>
    </row>
    <row r="9" spans="1:22" ht="6" customHeight="1">
      <c r="A9" s="1"/>
      <c r="B9" s="487"/>
      <c r="C9" s="478"/>
      <c r="D9" s="479"/>
      <c r="E9" s="480"/>
      <c r="F9" s="472"/>
      <c r="G9" s="219"/>
      <c r="H9" s="474"/>
      <c r="I9" s="472"/>
      <c r="J9" s="219"/>
      <c r="K9" s="474"/>
      <c r="L9" s="472"/>
      <c r="M9" s="219"/>
      <c r="N9" s="474"/>
      <c r="O9" s="472"/>
      <c r="P9" s="219"/>
      <c r="Q9" s="474"/>
      <c r="R9" s="472"/>
      <c r="S9" s="219"/>
      <c r="T9" s="507"/>
      <c r="V9" s="3"/>
    </row>
    <row r="10" spans="1:20" ht="19.5" customHeight="1">
      <c r="A10" s="1"/>
      <c r="B10" s="390" t="str">
        <f>[0]!LIC1</f>
        <v>111086-O</v>
      </c>
      <c r="C10" s="478"/>
      <c r="D10" s="479"/>
      <c r="E10" s="480"/>
      <c r="F10" s="151"/>
      <c r="G10" s="152">
        <f>IF(VLOOKUP($F$7,un,1,FALSE)=$F$7,VLOOKUP($F$7,un,7,FALSE),"")</f>
        <v>2</v>
      </c>
      <c r="H10" s="153"/>
      <c r="I10" s="151"/>
      <c r="J10" s="152">
        <f>IF(VLOOKUP($I$7,un,1,FALSE)=$I$7,VLOOKUP($I$7,un,7,FALSE),"")</f>
        <v>2</v>
      </c>
      <c r="K10" s="153"/>
      <c r="L10" s="151"/>
      <c r="M10" s="152">
        <f>IF(VLOOKUP($L$7,un,1,FALSE)=$L$7,VLOOKUP($L$7,un,7,FALSE),"")</f>
        <v>2</v>
      </c>
      <c r="N10" s="153"/>
      <c r="O10" s="151"/>
      <c r="P10" s="152">
        <f>IF(VLOOKUP($O$7,un,1,FALSE)=$O$7,VLOOKUP($O$7,un,7,FALSE),"")</f>
        <v>2</v>
      </c>
      <c r="Q10" s="150"/>
      <c r="R10" s="151"/>
      <c r="S10" s="152">
        <f>IF(VLOOKUP($R$7,un,1,FALSE)=$R$7,VLOOKUP($R$7,un,7,FALSE),"")</f>
        <v>2</v>
      </c>
      <c r="T10" s="218"/>
    </row>
    <row r="11" spans="1:22" ht="18.75" customHeight="1">
      <c r="A11" s="1"/>
      <c r="B11" s="392" t="str">
        <f>[0]!CLUB1</f>
        <v>St Gaudens</v>
      </c>
      <c r="C11" s="478"/>
      <c r="D11" s="479"/>
      <c r="E11" s="480"/>
      <c r="F11" s="403">
        <f>IF(F8="","",+F8/H8)</f>
        <v>4.2105263157894735</v>
      </c>
      <c r="G11" s="220"/>
      <c r="H11" s="221">
        <f>IF(VLOOKUP($F$7,un,1,FALSE)=$F$7,VLOOKUP($F$7,un,6,FALSE),"")</f>
        <v>17</v>
      </c>
      <c r="I11" s="403">
        <f>IF(I8="","",+I8/K8)</f>
        <v>2.2857142857142856</v>
      </c>
      <c r="J11" s="220"/>
      <c r="K11" s="221">
        <f>IF(VLOOKUP($I$7,un,1,FALSE)=$I$7,VLOOKUP($I$7,un,6,FALSE),"")</f>
        <v>13</v>
      </c>
      <c r="L11" s="403">
        <f>IF(L8="","",+L8/N8)</f>
        <v>2.5</v>
      </c>
      <c r="M11" s="220"/>
      <c r="N11" s="221">
        <f>IF(VLOOKUP($L$7,un,1,FALSE)=$L$7,VLOOKUP($L$7,un,6,FALSE),"")</f>
        <v>13</v>
      </c>
      <c r="O11" s="403">
        <f>IF(O8="","",+O8/Q8)</f>
        <v>3.2</v>
      </c>
      <c r="P11" s="222"/>
      <c r="Q11" s="223">
        <f>IF(VLOOKUP($O$7,un,1,FALSE)=$O$7,VLOOKUP($O$7,un,6,FALSE),"")</f>
        <v>20</v>
      </c>
      <c r="R11" s="403">
        <f>IF(R8="","",+R8/T8)</f>
        <v>2.4242424242424243</v>
      </c>
      <c r="S11" s="220"/>
      <c r="T11" s="224">
        <f>IF(VLOOKUP($R$7,un,1,FALSE)=$R$7,VLOOKUP($R$7,un,6,FALSE),"")</f>
        <v>17</v>
      </c>
      <c r="U11" t="s">
        <v>174</v>
      </c>
      <c r="V11" s="24"/>
    </row>
    <row r="12" spans="1:22" ht="15.75" customHeight="1">
      <c r="A12" s="1"/>
      <c r="B12" s="486" t="str">
        <f>[0]!NOM2</f>
        <v>GARDAIS</v>
      </c>
      <c r="C12" s="471">
        <f>IF(VLOOKUP($C$7,deu,1,FALSE)=$C$7,VLOOKUP($C$7,deu,2,FALSE),"")</f>
        <v>23</v>
      </c>
      <c r="D12" s="227">
        <f>IF(E12="","",VLOOKUP(C$7,ordre2,10,FALSE))</f>
        <v>5</v>
      </c>
      <c r="E12" s="473">
        <f>IF(VLOOKUP($C$7,deu,1,FALSE)=$C$7,VLOOKUP($C$7,deu,3,FALSE),"")</f>
        <v>19</v>
      </c>
      <c r="F12" s="475" t="s">
        <v>173</v>
      </c>
      <c r="G12" s="476"/>
      <c r="H12" s="477"/>
      <c r="I12" s="471">
        <f>IF(VLOOKUP($I$7,deu,1,FALSE)=$I$7,VLOOKUP($I$7,deu,2,FALSE),"")</f>
        <v>68</v>
      </c>
      <c r="J12" s="227">
        <f>IF(K12="","",VLOOKUP(I$7,ordre2,10,FALSE))</f>
        <v>2</v>
      </c>
      <c r="K12" s="473">
        <f>IF(VLOOKUP($I$7,deu,1,FALSE)=$I$7,VLOOKUP($I$7,deu,3,FALSE),"")</f>
        <v>38</v>
      </c>
      <c r="L12" s="471">
        <f>IF(VLOOKUP($L$7,deu,1,FALSE)=$L$7,VLOOKUP($L$7,deu,2,FALSE),"")</f>
        <v>80</v>
      </c>
      <c r="M12" s="227">
        <f>IF(N12="","",VLOOKUP(L$7,ordre2,10,FALSE))</f>
        <v>4</v>
      </c>
      <c r="N12" s="473">
        <f>IF(VLOOKUP($L$7,deu,1,FALSE)=$L$7,VLOOKUP($L$7,deu,3,FALSE),"")</f>
        <v>39</v>
      </c>
      <c r="O12" s="471">
        <f>IF(VLOOKUP($O$7,deu,1,FALSE)=$O$7,VLOOKUP($O$7,deu,2,FALSE),"")</f>
        <v>48</v>
      </c>
      <c r="P12" s="227">
        <f>IF(Q12="","",VLOOKUP(O$7,ordre2,10,FALSE))</f>
        <v>1</v>
      </c>
      <c r="Q12" s="473">
        <f>IF(VLOOKUP($O$7,deu,1,FALSE)=$O$7,VLOOKUP($O$7,deu,3,FALSE),"")</f>
        <v>41</v>
      </c>
      <c r="R12" s="471">
        <f>IF(VLOOKUP($R$7,deu,1,FALSE)=$R$7,VLOOKUP($R$7,deu,2,FALSE),"")</f>
        <v>73</v>
      </c>
      <c r="S12" s="227">
        <f>IF(T12="","",VLOOKUP(R$7,ordre2,10,FALSE))</f>
        <v>3</v>
      </c>
      <c r="T12" s="506">
        <f>IF(VLOOKUP($R$7,deu,1,FALSE)=$R$7,VLOOKUP($R$7,deu,3,FALSE),"")</f>
        <v>34</v>
      </c>
      <c r="V12" s="3"/>
    </row>
    <row r="13" spans="1:22" ht="6" customHeight="1">
      <c r="A13" s="1"/>
      <c r="B13" s="487"/>
      <c r="C13" s="472"/>
      <c r="D13" s="219"/>
      <c r="E13" s="474"/>
      <c r="F13" s="478"/>
      <c r="G13" s="479"/>
      <c r="H13" s="480"/>
      <c r="I13" s="472"/>
      <c r="J13" s="219"/>
      <c r="K13" s="474"/>
      <c r="L13" s="472"/>
      <c r="M13" s="219"/>
      <c r="N13" s="474"/>
      <c r="O13" s="472"/>
      <c r="P13" s="219"/>
      <c r="Q13" s="474"/>
      <c r="R13" s="472"/>
      <c r="S13" s="219"/>
      <c r="T13" s="507"/>
      <c r="V13" s="3"/>
    </row>
    <row r="14" spans="1:22" ht="19.5" customHeight="1">
      <c r="A14" s="1"/>
      <c r="B14" s="390" t="str">
        <f>[0]!LIC2</f>
        <v>110833-V</v>
      </c>
      <c r="C14" s="151"/>
      <c r="D14" s="152">
        <f>IF(VLOOKUP($C$7,deu,1,FALSE)=$C$7,VLOOKUP($C$7,deu,7,FALSE),"")</f>
        <v>0</v>
      </c>
      <c r="E14" s="153"/>
      <c r="F14" s="478"/>
      <c r="G14" s="479"/>
      <c r="H14" s="480"/>
      <c r="I14" s="151"/>
      <c r="J14" s="152">
        <f>IF(VLOOKUP($I$7,deu,1,FALSE)=$I$7,VLOOKUP($I$7,deu,7,FALSE),"")</f>
        <v>0</v>
      </c>
      <c r="K14" s="153"/>
      <c r="L14" s="151"/>
      <c r="M14" s="152">
        <f>IF(VLOOKUP($L$7,deu,1,FALSE)=$L$7,VLOOKUP($L$7,deu,7,FALSE),"")</f>
        <v>2</v>
      </c>
      <c r="N14" s="153"/>
      <c r="O14" s="151"/>
      <c r="P14" s="152">
        <f>IF(VLOOKUP($O$7,deu,1,FALSE)=$O$7,VLOOKUP($O$7,deu,7,FALSE),"")</f>
        <v>0</v>
      </c>
      <c r="Q14" s="153"/>
      <c r="R14" s="151"/>
      <c r="S14" s="152">
        <f>IF(VLOOKUP($R$7,deu,1,FALSE)=$R$7,VLOOKUP($R$7,deu,7,FALSE),"")</f>
        <v>0</v>
      </c>
      <c r="T14" s="218"/>
      <c r="V14" s="1"/>
    </row>
    <row r="15" spans="1:22" ht="18.75" customHeight="1">
      <c r="A15" s="1"/>
      <c r="B15" s="392" t="str">
        <f>[0]!CLUB2</f>
        <v>Tarbes</v>
      </c>
      <c r="C15" s="403">
        <f>IF(C12="","",+C12/E12)</f>
        <v>1.2105263157894737</v>
      </c>
      <c r="D15" s="220"/>
      <c r="E15" s="221">
        <f>IF(VLOOKUP($C$7,deu,1,FALSE)=$C$7,VLOOKUP($C$7,deu,6,FALSE),"")</f>
        <v>5</v>
      </c>
      <c r="F15" s="478"/>
      <c r="G15" s="479"/>
      <c r="H15" s="480"/>
      <c r="I15" s="403">
        <f>IF(I12="","",+I12/K12)</f>
        <v>1.7894736842105263</v>
      </c>
      <c r="J15" s="220"/>
      <c r="K15" s="221">
        <f>IF(VLOOKUP($I$7,deu,1,FALSE)=$I$7,VLOOKUP($I$7,deu,6,FALSE),"")</f>
        <v>11</v>
      </c>
      <c r="L15" s="403">
        <f>IF(L12="","",+L12/N12)</f>
        <v>2.051282051282051</v>
      </c>
      <c r="M15" s="220"/>
      <c r="N15" s="221">
        <f>IF(VLOOKUP($L$7,deu,1,FALSE)=$L$7,VLOOKUP($L$7,deu,6,FALSE),"")</f>
        <v>10</v>
      </c>
      <c r="O15" s="403">
        <f>IF(O12="","",+O12/Q12)</f>
        <v>1.170731707317073</v>
      </c>
      <c r="P15" s="220"/>
      <c r="Q15" s="221">
        <f>IF(VLOOKUP($O$7,deu,1,FALSE)=$O$7,VLOOKUP($O$7,deu,6,FALSE),"")</f>
        <v>5</v>
      </c>
      <c r="R15" s="403">
        <f>IF(R12="","",+R12/T12)</f>
        <v>2.1470588235294117</v>
      </c>
      <c r="S15" s="220"/>
      <c r="T15" s="224">
        <f>IF(VLOOKUP($R$7,deu,1,FALSE)=$R$7,VLOOKUP($R$7,deu,6,FALSE),"")</f>
        <v>8</v>
      </c>
      <c r="V15" s="25"/>
    </row>
    <row r="16" spans="1:22" ht="15.75" customHeight="1">
      <c r="A16" s="1"/>
      <c r="B16" s="486" t="str">
        <f>[0]!NOM3</f>
        <v>CASIMIR</v>
      </c>
      <c r="C16" s="471">
        <f>IF(VLOOKUP($C$7,tro,1,FALSE)=$C$7,VLOOKUP($C$7,tro,2,FALSE),"")</f>
        <v>55</v>
      </c>
      <c r="D16" s="227">
        <f>IF(E16="","",VLOOKUP(C$7,ordre3,10,FALSE))</f>
        <v>4</v>
      </c>
      <c r="E16" s="473">
        <f>IF(VLOOKUP($C$7,tro,1,FALSE)=$C$7,VLOOKUP($C$7,tro,3,FALSE),"")</f>
        <v>35</v>
      </c>
      <c r="F16" s="471">
        <f>IF(VLOOKUP($F$7,tro,1,FALSE)=$F$7,VLOOKUP($F$7,tro,2,FALSE),"")</f>
        <v>80</v>
      </c>
      <c r="G16" s="227">
        <f>IF(H16="","",VLOOKUP(F$7,ordre3,10,FALSE))</f>
        <v>2</v>
      </c>
      <c r="H16" s="473">
        <f>IF(VLOOKUP($F$7,tro,1,FALSE)=$F$7,VLOOKUP($F$7,tro,3,FALSE),"")</f>
        <v>38</v>
      </c>
      <c r="I16" s="475" t="s">
        <v>173</v>
      </c>
      <c r="J16" s="476"/>
      <c r="K16" s="477"/>
      <c r="L16" s="471">
        <f>IF(VLOOKUP($L$7,tro,1,FALSE)=$L$7,VLOOKUP($L$7,tro,2,FALSE),"")</f>
        <v>69</v>
      </c>
      <c r="M16" s="227">
        <f>IF(N16="","",VLOOKUP(L$7,ordre3,10,FALSE))</f>
        <v>1</v>
      </c>
      <c r="N16" s="473">
        <f>IF(VLOOKUP($L$7,tro,1,FALSE)=$L$7,VLOOKUP($L$7,tro,3,FALSE),"")</f>
        <v>48</v>
      </c>
      <c r="O16" s="471">
        <f>IF(VLOOKUP($O$7,tro,1,FALSE)=$O$7,VLOOKUP($O$7,tro,2,FALSE),"")</f>
        <v>69</v>
      </c>
      <c r="P16" s="227">
        <f>IF(Q16="","",VLOOKUP(O$7,ordre3,10,FALSE))</f>
        <v>3</v>
      </c>
      <c r="Q16" s="473">
        <f>IF(VLOOKUP($O$7,tro,1,FALSE)=$O$7,VLOOKUP($O$7,tro,3,FALSE),"")</f>
        <v>45</v>
      </c>
      <c r="R16" s="471">
        <f>IF(VLOOKUP($R$7,tro,1,FALSE)=$R$7,VLOOKUP($R$7,tro,2,FALSE),"")</f>
        <v>39</v>
      </c>
      <c r="S16" s="227">
        <f>IF(T16="","",VLOOKUP(R$7,ordre3,10,FALSE))</f>
        <v>5</v>
      </c>
      <c r="T16" s="506">
        <f>IF(VLOOKUP($R$7,tro,1,FALSE)=$R$7,VLOOKUP($R$7,tro,3,FALSE),"")</f>
        <v>31</v>
      </c>
      <c r="V16" s="26"/>
    </row>
    <row r="17" spans="1:22" ht="6" customHeight="1">
      <c r="A17" s="1"/>
      <c r="B17" s="487"/>
      <c r="C17" s="472"/>
      <c r="D17" s="219"/>
      <c r="E17" s="474"/>
      <c r="F17" s="472"/>
      <c r="G17" s="219"/>
      <c r="H17" s="474"/>
      <c r="I17" s="478"/>
      <c r="J17" s="479"/>
      <c r="K17" s="480"/>
      <c r="L17" s="472"/>
      <c r="M17" s="219"/>
      <c r="N17" s="474"/>
      <c r="O17" s="472"/>
      <c r="P17" s="219"/>
      <c r="Q17" s="474"/>
      <c r="R17" s="472"/>
      <c r="S17" s="219"/>
      <c r="T17" s="507"/>
      <c r="V17" s="26"/>
    </row>
    <row r="18" spans="1:22" ht="19.5" customHeight="1">
      <c r="A18" s="1"/>
      <c r="B18" s="390" t="str">
        <f>[0]!LIC3</f>
        <v>022648-C</v>
      </c>
      <c r="C18" s="151"/>
      <c r="D18" s="152">
        <f>IF(VLOOKUP($C$7,tro,1,FALSE)=$C$7,VLOOKUP($C$7,tro,7,FALSE),"")</f>
        <v>0</v>
      </c>
      <c r="E18" s="153"/>
      <c r="F18" s="151"/>
      <c r="G18" s="152">
        <f>IF(VLOOKUP($F$7,tro,1,FALSE)=$F$7,VLOOKUP($F$7,tro,7,FALSE),"")</f>
        <v>2</v>
      </c>
      <c r="H18" s="153"/>
      <c r="I18" s="478"/>
      <c r="J18" s="479"/>
      <c r="K18" s="480"/>
      <c r="L18" s="151"/>
      <c r="M18" s="152">
        <f>IF(VLOOKUP($L$7,tro,1,FALSE)=$L$7,VLOOKUP($L$7,tro,7,FALSE),"")</f>
        <v>0</v>
      </c>
      <c r="N18" s="153"/>
      <c r="O18" s="151"/>
      <c r="P18" s="152">
        <f>IF(VLOOKUP($O$7,tro,1,FALSE)=$O$7,VLOOKUP($O$7,tro,7,FALSE),"")</f>
        <v>0</v>
      </c>
      <c r="Q18" s="153"/>
      <c r="R18" s="151"/>
      <c r="S18" s="152">
        <f>IF(VLOOKUP($R$7,tro,1,FALSE)=$R$7,VLOOKUP($R$7,tro,7,FALSE),"")</f>
        <v>0</v>
      </c>
      <c r="T18" s="218"/>
      <c r="V18" s="1"/>
    </row>
    <row r="19" spans="1:22" ht="19.5" customHeight="1">
      <c r="A19" s="1"/>
      <c r="B19" s="392" t="str">
        <f>[0]!CLUB3</f>
        <v>Cahors</v>
      </c>
      <c r="C19" s="403">
        <f>IF(C16="","",+C16/E16)</f>
        <v>1.5714285714285714</v>
      </c>
      <c r="D19" s="220"/>
      <c r="E19" s="221">
        <f>IF(VLOOKUP($C$7,tro,1,FALSE)=$C$7,VLOOKUP($C$7,tro,6,FALSE),"")</f>
        <v>6</v>
      </c>
      <c r="F19" s="403">
        <f>IF(F16="","",+F16/H16)</f>
        <v>2.1052631578947367</v>
      </c>
      <c r="G19" s="220"/>
      <c r="H19" s="221">
        <f>IF(VLOOKUP($F$7,tro,1,FALSE)=$F$7,VLOOKUP($F$7,tro,6,FALSE),"")</f>
        <v>12</v>
      </c>
      <c r="I19" s="478"/>
      <c r="J19" s="479"/>
      <c r="K19" s="480"/>
      <c r="L19" s="403">
        <f>IF(L16="","",+L16/N16)</f>
        <v>1.4375</v>
      </c>
      <c r="M19" s="220"/>
      <c r="N19" s="221">
        <f>IF(VLOOKUP($L$7,tro,1,FALSE)=$L$7,VLOOKUP($L$7,tro,6,FALSE),"")</f>
        <v>4</v>
      </c>
      <c r="O19" s="403">
        <f>IF(O16="","",+O16/Q16)</f>
        <v>1.5333333333333334</v>
      </c>
      <c r="P19" s="220"/>
      <c r="Q19" s="221">
        <f>IF(VLOOKUP($O$7,tro,1,FALSE)=$O$7,VLOOKUP($O$7,tro,6,FALSE),"")</f>
        <v>11</v>
      </c>
      <c r="R19" s="403">
        <f>IF(R16="","",+R16/T16)</f>
        <v>1.2580645161290323</v>
      </c>
      <c r="S19" s="220"/>
      <c r="T19" s="224">
        <f>IF(VLOOKUP($R$7,tro,1,FALSE)=$R$7,VLOOKUP($R$7,tro,6,FALSE),"")</f>
        <v>8</v>
      </c>
      <c r="V19" s="24"/>
    </row>
    <row r="20" spans="1:22" ht="16.5" customHeight="1">
      <c r="A20" s="1"/>
      <c r="B20" s="486" t="str">
        <f>[0]!NOM4</f>
        <v>DUFFAUD</v>
      </c>
      <c r="C20" s="471">
        <f>IF(VLOOKUP($C$7,qua,1,FALSE)=$C$7,VLOOKUP($C$7,qua,2,FALSE),"")</f>
        <v>48</v>
      </c>
      <c r="D20" s="227">
        <f>IF(E20="","",VLOOKUP(C$7,ordre4,10,FALSE))</f>
        <v>3</v>
      </c>
      <c r="E20" s="473">
        <f>IF(VLOOKUP($C$7,qua,1,FALSE)=$C$7,VLOOKUP($C$7,qua,3,FALSE),"")</f>
        <v>32</v>
      </c>
      <c r="F20" s="471">
        <f>IF(VLOOKUP($F$7,qua,1,FALSE)=$F$7,VLOOKUP($F$7,qua,2,FALSE),"")</f>
        <v>71</v>
      </c>
      <c r="G20" s="227">
        <f>IF(H20="","",VLOOKUP(F$7,ordre4,10,FALSE))</f>
        <v>4</v>
      </c>
      <c r="H20" s="473">
        <f>IF(VLOOKUP($F$7,qua,1,FALSE)=$F$7,VLOOKUP($F$7,qua,3,FALSE),"")</f>
        <v>39</v>
      </c>
      <c r="I20" s="471">
        <f>IF(VLOOKUP($I$7,qua,1,FALSE)=$I$7,VLOOKUP($I$7,qua,2,FALSE),"")</f>
        <v>80</v>
      </c>
      <c r="J20" s="227">
        <f>IF(K20="","",VLOOKUP(I$7,ordre4,10,FALSE))</f>
        <v>1</v>
      </c>
      <c r="K20" s="473">
        <f>IF(VLOOKUP($I$7,qua,1,FALSE)=$I$7,VLOOKUP($I$7,qua,3,FALSE),"")</f>
        <v>48</v>
      </c>
      <c r="L20" s="475" t="s">
        <v>173</v>
      </c>
      <c r="M20" s="476"/>
      <c r="N20" s="477"/>
      <c r="O20" s="471">
        <f>IF(VLOOKUP($O$7,qua,1,FALSE)=$O$7,VLOOKUP($O$7,qua,2,FALSE),"")</f>
        <v>53</v>
      </c>
      <c r="P20" s="227">
        <f>IF(Q20="","",VLOOKUP(O$7,ordre4,10,FALSE))</f>
        <v>5</v>
      </c>
      <c r="Q20" s="473">
        <f>IF(VLOOKUP($O$7,qua,1,FALSE)=$O$7,VLOOKUP($O$7,qua,3,FALSE),"")</f>
        <v>38</v>
      </c>
      <c r="R20" s="471">
        <f>IF(VLOOKUP($R$7,qua,1,FALSE)=$R$7,VLOOKUP($R$7,qua,2,FALSE),"")</f>
        <v>47</v>
      </c>
      <c r="S20" s="227">
        <f>IF(T20="","",VLOOKUP(R$7,ordre4,10,FALSE))</f>
        <v>2</v>
      </c>
      <c r="T20" s="506">
        <f>IF(VLOOKUP($R$7,qua,1,FALSE)=$R$7,VLOOKUP($R$7,qua,3,FALSE),"")</f>
        <v>34</v>
      </c>
      <c r="U20" s="27"/>
      <c r="V20" s="26"/>
    </row>
    <row r="21" spans="1:22" ht="6.75" customHeight="1">
      <c r="A21" s="1"/>
      <c r="B21" s="487"/>
      <c r="C21" s="472"/>
      <c r="D21" s="219"/>
      <c r="E21" s="474"/>
      <c r="F21" s="472"/>
      <c r="G21" s="219"/>
      <c r="H21" s="474"/>
      <c r="I21" s="472"/>
      <c r="J21" s="219"/>
      <c r="K21" s="474"/>
      <c r="L21" s="478"/>
      <c r="M21" s="479"/>
      <c r="N21" s="480"/>
      <c r="O21" s="472"/>
      <c r="P21" s="219"/>
      <c r="Q21" s="474"/>
      <c r="R21" s="472"/>
      <c r="S21" s="219"/>
      <c r="T21" s="507"/>
      <c r="U21" s="27"/>
      <c r="V21" s="26"/>
    </row>
    <row r="22" spans="1:22" ht="19.5" customHeight="1">
      <c r="A22" s="4"/>
      <c r="B22" s="390" t="str">
        <f>[0]!LIC4</f>
        <v>022847-W</v>
      </c>
      <c r="C22" s="151"/>
      <c r="D22" s="152">
        <f>IF(VLOOKUP($C$7,qua,1,FALSE)=$C$7,VLOOKUP($C$7,qua,7,FALSE),"")</f>
        <v>0</v>
      </c>
      <c r="E22" s="153"/>
      <c r="F22" s="151"/>
      <c r="G22" s="152">
        <f>IF(VLOOKUP($F$7,qua,1,FALSE)=$F$7,VLOOKUP($F$7,qua,7,FALSE),"")</f>
        <v>0</v>
      </c>
      <c r="H22" s="153"/>
      <c r="I22" s="151"/>
      <c r="J22" s="152">
        <f>IF(VLOOKUP($I$7,qua,1,FALSE)=$I$7,VLOOKUP($I$7,qua,7,FALSE),"")</f>
        <v>2</v>
      </c>
      <c r="K22" s="153"/>
      <c r="L22" s="478"/>
      <c r="M22" s="479"/>
      <c r="N22" s="480"/>
      <c r="O22" s="151"/>
      <c r="P22" s="152">
        <f>IF(VLOOKUP($O$7,qua,1,FALSE)=$O$7,VLOOKUP($O$7,qua,7,FALSE),"")</f>
        <v>0</v>
      </c>
      <c r="Q22" s="153"/>
      <c r="R22" s="151"/>
      <c r="S22" s="152">
        <f>IF(VLOOKUP($R$7,qua,1,FALSE)=$R$7,VLOOKUP($R$7,qua,7,FALSE),"")</f>
        <v>0</v>
      </c>
      <c r="T22" s="218"/>
      <c r="V22" s="1"/>
    </row>
    <row r="23" spans="1:22" ht="18.75" customHeight="1">
      <c r="A23" s="1"/>
      <c r="B23" s="392" t="str">
        <f>[0]!CLUB4</f>
        <v>Arize</v>
      </c>
      <c r="C23" s="403">
        <f>IF(C20="","",+C20/E20)</f>
        <v>1.5</v>
      </c>
      <c r="D23" s="220"/>
      <c r="E23" s="221">
        <f>IF(VLOOKUP($C$7,qua,1,FALSE)=$C$7,VLOOKUP($C$7,qua,6,FALSE),"")</f>
        <v>5</v>
      </c>
      <c r="F23" s="403">
        <f>IF(F20="","",+F20/H20)</f>
        <v>1.8205128205128205</v>
      </c>
      <c r="G23" s="220"/>
      <c r="H23" s="221">
        <f>IF(VLOOKUP($F$7,qua,1,FALSE)=$F$7,VLOOKUP($F$7,qua,6,FALSE),"")</f>
        <v>7</v>
      </c>
      <c r="I23" s="403">
        <f>IF(I20="","",+I20/K20)</f>
        <v>1.6666666666666667</v>
      </c>
      <c r="J23" s="220"/>
      <c r="K23" s="221">
        <f>IF(VLOOKUP($I$7,qua,1,FALSE)=$I$7,VLOOKUP($I$7,qua,6,FALSE),"")</f>
        <v>8</v>
      </c>
      <c r="L23" s="478"/>
      <c r="M23" s="479"/>
      <c r="N23" s="480"/>
      <c r="O23" s="403">
        <f>IF(O20="","",+O20/Q20)</f>
        <v>1.394736842105263</v>
      </c>
      <c r="P23" s="220"/>
      <c r="Q23" s="221">
        <f>IF(VLOOKUP($O$7,qua,1,FALSE)=$O$7,VLOOKUP($O$7,qua,6,FALSE),"")</f>
        <v>6</v>
      </c>
      <c r="R23" s="403">
        <f>IF(R20="","",+R20/T20)</f>
        <v>1.3823529411764706</v>
      </c>
      <c r="S23" s="220"/>
      <c r="T23" s="224">
        <f>IF(VLOOKUP($R$7,qua,1,FALSE)=$R$7,VLOOKUP($R$7,qua,6,FALSE),"")</f>
        <v>7</v>
      </c>
      <c r="V23" s="24"/>
    </row>
    <row r="24" spans="1:24" ht="16.5" customHeight="1">
      <c r="A24" s="1"/>
      <c r="B24" s="486" t="str">
        <f>[0]!NOM5</f>
        <v>LIS</v>
      </c>
      <c r="C24" s="471">
        <f>IF(VLOOKUP($C$7,cin,1,FALSE)=$C$7,VLOOKUP($C$7,cin,2,FALSE),"")</f>
        <v>53</v>
      </c>
      <c r="D24" s="227">
        <f>IF(E24="","",VLOOKUP(C$7,ordre5,10,FALSE))</f>
        <v>2</v>
      </c>
      <c r="E24" s="473">
        <f>IF(VLOOKUP($C$7,cin,1,FALSE)=$C$7,VLOOKUP($C$7,cin,3,FALSE),"")</f>
        <v>25</v>
      </c>
      <c r="F24" s="471">
        <f>IF(VLOOKUP($F$7,cin,1,FALSE)=$F$7,VLOOKUP($F$7,cin,2,FALSE),"")</f>
        <v>80</v>
      </c>
      <c r="G24" s="227">
        <f>IF(H24="","",VLOOKUP(F$7,ordre5,10,FALSE))</f>
        <v>1</v>
      </c>
      <c r="H24" s="473">
        <f>IF(VLOOKUP($F$7,cin,1,FALSE)=$F$7,VLOOKUP($F$7,cin,3,FALSE),"")</f>
        <v>41</v>
      </c>
      <c r="I24" s="471">
        <f>IF(VLOOKUP($I$7,cin,1,FALSE)=$I$7,VLOOKUP($I$7,cin,2,FALSE),"")</f>
        <v>80</v>
      </c>
      <c r="J24" s="227">
        <f>IF(K24="","",VLOOKUP(I$7,ordre5,10,FALSE))</f>
        <v>3</v>
      </c>
      <c r="K24" s="473">
        <f>IF(VLOOKUP($I$7,cin,1,FALSE)=$I$7,VLOOKUP($I$7,cin,3,FALSE),"")</f>
        <v>45</v>
      </c>
      <c r="L24" s="471">
        <f>IF(VLOOKUP($L$7,cin,1,FALSE)=$L$7,VLOOKUP($L$7,cin,2,FALSE),"")</f>
        <v>80</v>
      </c>
      <c r="M24" s="227">
        <f>IF(N24="","",VLOOKUP(L$7,ordre5,10,FALSE))</f>
        <v>5</v>
      </c>
      <c r="N24" s="473">
        <f>IF(VLOOKUP($L$7,cin,1,FALSE)=$L$7,VLOOKUP($L$7,cin,3,FALSE),"")</f>
        <v>38</v>
      </c>
      <c r="O24" s="475" t="s">
        <v>173</v>
      </c>
      <c r="P24" s="476"/>
      <c r="Q24" s="477"/>
      <c r="R24" s="471">
        <f>IF(VLOOKUP($R$7,cin,1,FALSE)=$R$7,VLOOKUP($R$7,cin,2,FALSE),"")</f>
        <v>80</v>
      </c>
      <c r="S24" s="227">
        <f>IF(T24="","",VLOOKUP(R$7,ordre5,10,FALSE))</f>
        <v>4</v>
      </c>
      <c r="T24" s="506">
        <f>IF(VLOOKUP($R$7,cin,1,FALSE)=$R$7,VLOOKUP($R$7,cin,3,FALSE),"")</f>
        <v>39</v>
      </c>
      <c r="V24" s="3"/>
      <c r="X24" t="s">
        <v>83</v>
      </c>
    </row>
    <row r="25" spans="1:22" ht="6.75" customHeight="1">
      <c r="A25" s="1"/>
      <c r="B25" s="487"/>
      <c r="C25" s="472"/>
      <c r="D25" s="219"/>
      <c r="E25" s="474"/>
      <c r="F25" s="472"/>
      <c r="G25" s="219"/>
      <c r="H25" s="474"/>
      <c r="I25" s="472"/>
      <c r="J25" s="219"/>
      <c r="K25" s="474"/>
      <c r="L25" s="472"/>
      <c r="M25" s="219"/>
      <c r="N25" s="474"/>
      <c r="O25" s="478"/>
      <c r="P25" s="479"/>
      <c r="Q25" s="480"/>
      <c r="R25" s="472"/>
      <c r="S25" s="219"/>
      <c r="T25" s="507"/>
      <c r="V25" s="3"/>
    </row>
    <row r="26" spans="1:22" ht="18.75" customHeight="1">
      <c r="A26" s="1"/>
      <c r="B26" s="390" t="str">
        <f>[0]!LIC5</f>
        <v>022590-W</v>
      </c>
      <c r="C26" s="151"/>
      <c r="D26" s="152">
        <f>IF(VLOOKUP($C$7,cin,1,FALSE)=$C$7,VLOOKUP($C$7,cin,7,FALSE),"")</f>
        <v>0</v>
      </c>
      <c r="E26" s="153"/>
      <c r="F26" s="151"/>
      <c r="G26" s="152">
        <f>IF(VLOOKUP($F$7,cin,1,FALSE)=$F$7,VLOOKUP($F$7,cin,7,FALSE),"")</f>
        <v>2</v>
      </c>
      <c r="H26" s="153"/>
      <c r="I26" s="151"/>
      <c r="J26" s="152">
        <f>IF(VLOOKUP($I$7,cin,1,FALSE)=$I$7,VLOOKUP($I$7,cin,7,FALSE),"")</f>
        <v>2</v>
      </c>
      <c r="K26" s="153"/>
      <c r="L26" s="151"/>
      <c r="M26" s="152">
        <f>IF(VLOOKUP($L$7,cin,1,FALSE)=$L$7,VLOOKUP($L$7,cin,7,FALSE),"")</f>
        <v>2</v>
      </c>
      <c r="N26" s="153"/>
      <c r="O26" s="478"/>
      <c r="P26" s="479"/>
      <c r="Q26" s="480"/>
      <c r="R26" s="151"/>
      <c r="S26" s="152">
        <f>IF(VLOOKUP($R$7,cin,1,FALSE)=$R$7,VLOOKUP($R$7,cin,7,FALSE),"")</f>
        <v>2</v>
      </c>
      <c r="T26" s="218"/>
      <c r="V26" s="1"/>
    </row>
    <row r="27" spans="1:22" ht="18.75" customHeight="1">
      <c r="A27" s="1"/>
      <c r="B27" s="392" t="str">
        <f>[0]!CLUB5</f>
        <v>Tarbes</v>
      </c>
      <c r="C27" s="403">
        <f>IF(C24="","",+C24/E24)</f>
        <v>2.12</v>
      </c>
      <c r="D27" s="220"/>
      <c r="E27" s="221">
        <f>IF(VLOOKUP($C$7,cin,1,FALSE)=$C$7,VLOOKUP($C$7,cin,6,FALSE),"")</f>
        <v>9</v>
      </c>
      <c r="F27" s="403">
        <f>IF(F24="","",+F24/H24)</f>
        <v>1.951219512195122</v>
      </c>
      <c r="G27" s="220"/>
      <c r="H27" s="221">
        <f>IF(VLOOKUP($F$7,cin,1,FALSE)=$F$7,VLOOKUP($F$7,cin,6,FALSE),"")</f>
        <v>11</v>
      </c>
      <c r="I27" s="403">
        <f>IF(I24="","",+I24/K24)</f>
        <v>1.7777777777777777</v>
      </c>
      <c r="J27" s="220"/>
      <c r="K27" s="221">
        <f>IF(VLOOKUP($I$7,cin,1,FALSE)=$I$7,VLOOKUP($I$7,cin,6,FALSE),"")</f>
        <v>8</v>
      </c>
      <c r="L27" s="403">
        <f>IF(L24="","",+L24/N24)</f>
        <v>2.1052631578947367</v>
      </c>
      <c r="M27" s="220"/>
      <c r="N27" s="221">
        <f>IF(VLOOKUP($L$7,cin,1,FALSE)=$L$7,VLOOKUP($L$7,cin,6,FALSE),"")</f>
        <v>8</v>
      </c>
      <c r="O27" s="478"/>
      <c r="P27" s="479"/>
      <c r="Q27" s="480"/>
      <c r="R27" s="403">
        <f>IF(R24="","",+R24/T24)</f>
        <v>2.051282051282051</v>
      </c>
      <c r="S27" s="220"/>
      <c r="T27" s="224">
        <f>IF(VLOOKUP($R$7,cin,1,FALSE)=$R$7,VLOOKUP($R$7,cin,6,FALSE),"")</f>
        <v>11</v>
      </c>
      <c r="V27" s="24"/>
    </row>
    <row r="28" spans="1:25" ht="16.5" customHeight="1">
      <c r="A28" s="1"/>
      <c r="B28" s="486" t="str">
        <f>[0]!NOM6</f>
        <v>REMY</v>
      </c>
      <c r="C28" s="471">
        <f>IF(VLOOKUP($C$7,six,1,FALSE)=$C$7,VLOOKUP($C$7,six,2,FALSE),"")</f>
        <v>62</v>
      </c>
      <c r="D28" s="227">
        <f>IF(E28="","",VLOOKUP(C$7,ordre6,10,FALSE))</f>
        <v>1</v>
      </c>
      <c r="E28" s="473">
        <f>IF(VLOOKUP($C$7,six,1,FALSE)=$C$7,VLOOKUP($C$7,six,3,FALSE),"")</f>
        <v>33</v>
      </c>
      <c r="F28" s="471">
        <f>IF(VLOOKUP($F$7,six,1,FALSE)=$F$7,VLOOKUP($F$7,six,2,FALSE),"")</f>
        <v>80</v>
      </c>
      <c r="G28" s="227">
        <f>IF(H28="","",VLOOKUP(F$7,ordre6,10,FALSE))</f>
        <v>3</v>
      </c>
      <c r="H28" s="473">
        <f>IF(VLOOKUP($F$7,six,1,FALSE)=$F$7,VLOOKUP($F$7,six,3,FALSE),"")</f>
        <v>34</v>
      </c>
      <c r="I28" s="471">
        <f>IF(VLOOKUP($I$7,six,1,FALSE)=$I$7,VLOOKUP($I$7,six,2,FALSE),"")</f>
        <v>80</v>
      </c>
      <c r="J28" s="227">
        <f>IF(K28="","",VLOOKUP(I$7,ordre6,10,FALSE))</f>
        <v>5</v>
      </c>
      <c r="K28" s="473">
        <f>IF(VLOOKUP($I$7,six,1,FALSE)=$I$7,VLOOKUP($I$7,six,3,FALSE),"")</f>
        <v>31</v>
      </c>
      <c r="L28" s="471">
        <f>IF(VLOOKUP($L$7,six,1,FALSE)=$L$7,VLOOKUP($L$7,six,2,FALSE),"")</f>
        <v>80</v>
      </c>
      <c r="M28" s="227">
        <f>IF(N28="","",VLOOKUP(L$7,ordre6,10,FALSE))</f>
        <v>2</v>
      </c>
      <c r="N28" s="473">
        <f>IF(VLOOKUP($L$7,six,1,FALSE)=$L$7,VLOOKUP($L$7,six,3,FALSE),"")</f>
        <v>34</v>
      </c>
      <c r="O28" s="471">
        <f>IF(VLOOKUP($O$7,six,1,FALSE)=$O$7,VLOOKUP($O$7,six,2,FALSE),"")</f>
        <v>58</v>
      </c>
      <c r="P28" s="227">
        <f>IF(Q28="","",VLOOKUP(O$7,ordre6,10,FALSE))</f>
        <v>4</v>
      </c>
      <c r="Q28" s="473">
        <f>IF(VLOOKUP($O$7,six,1,FALSE)=$O$7,VLOOKUP($O$7,six,3,FALSE),"")</f>
        <v>39</v>
      </c>
      <c r="R28" s="475" t="s">
        <v>173</v>
      </c>
      <c r="S28" s="476"/>
      <c r="T28" s="481"/>
      <c r="V28" s="3"/>
      <c r="Y28" s="1"/>
    </row>
    <row r="29" spans="1:25" ht="6.75" customHeight="1">
      <c r="A29" s="1"/>
      <c r="B29" s="487"/>
      <c r="C29" s="472"/>
      <c r="D29" s="219"/>
      <c r="E29" s="474"/>
      <c r="F29" s="472"/>
      <c r="G29" s="219"/>
      <c r="H29" s="474"/>
      <c r="I29" s="472"/>
      <c r="J29" s="219"/>
      <c r="K29" s="474"/>
      <c r="L29" s="472"/>
      <c r="M29" s="219"/>
      <c r="N29" s="474"/>
      <c r="O29" s="472"/>
      <c r="P29" s="219"/>
      <c r="Q29" s="474"/>
      <c r="R29" s="478"/>
      <c r="S29" s="479"/>
      <c r="T29" s="482"/>
      <c r="V29" s="3"/>
      <c r="Y29" s="1"/>
    </row>
    <row r="30" spans="1:25" ht="18" customHeight="1">
      <c r="A30" s="1"/>
      <c r="B30" s="390" t="str">
        <f>[0]!LIC6</f>
        <v>022499-J</v>
      </c>
      <c r="C30" s="151"/>
      <c r="D30" s="152">
        <f>IF(VLOOKUP($C$7,six,1,FALSE)=$C$7,VLOOKUP($C$7,six,7,FALSE),"")</f>
        <v>0</v>
      </c>
      <c r="E30" s="153"/>
      <c r="F30" s="151"/>
      <c r="G30" s="152">
        <f>IF(VLOOKUP($F$7,six,1,FALSE)=$F$7,VLOOKUP($F$7,six,7,FALSE),"")</f>
        <v>2</v>
      </c>
      <c r="H30" s="153"/>
      <c r="I30" s="151"/>
      <c r="J30" s="152">
        <f>IF(VLOOKUP($I$7,six,1,FALSE)=$I$7,VLOOKUP($I$7,six,7,FALSE),"")</f>
        <v>2</v>
      </c>
      <c r="K30" s="153"/>
      <c r="L30" s="151"/>
      <c r="M30" s="152">
        <f>IF(VLOOKUP($L$7,six,1,FALSE)=$L$7,VLOOKUP($L$7,six,7,FALSE),"")</f>
        <v>2</v>
      </c>
      <c r="N30" s="153"/>
      <c r="O30" s="151"/>
      <c r="P30" s="152">
        <f>IF(VLOOKUP($O$7,six,1,FALSE)=$O$7,VLOOKUP($O$7,six,7,FALSE),"")</f>
        <v>0</v>
      </c>
      <c r="Q30" s="153"/>
      <c r="R30" s="478"/>
      <c r="S30" s="479"/>
      <c r="T30" s="482"/>
      <c r="Y30" s="1"/>
    </row>
    <row r="31" spans="1:25" ht="18.75" customHeight="1" thickBot="1">
      <c r="A31" s="1"/>
      <c r="B31" s="391" t="str">
        <f>[0]!CLUB6</f>
        <v>St-Gaudens</v>
      </c>
      <c r="C31" s="404">
        <f>IF(C28="","",+C28/E28)</f>
        <v>1.878787878787879</v>
      </c>
      <c r="D31" s="225"/>
      <c r="E31" s="226">
        <f>IF(VLOOKUP($C$7,six,1,FALSE)=$C$7,VLOOKUP($C$7,six,6,FALSE),"")</f>
        <v>8</v>
      </c>
      <c r="F31" s="404">
        <f>IF(F28="","",+F28/H28)</f>
        <v>2.3529411764705883</v>
      </c>
      <c r="G31" s="225"/>
      <c r="H31" s="226">
        <f>IF(VLOOKUP($F$7,six,1,FALSE)=$F$7,VLOOKUP($F$7,six,6,FALSE),"")</f>
        <v>13</v>
      </c>
      <c r="I31" s="404">
        <f>IF(I28="","",+I28/K28)</f>
        <v>2.5806451612903225</v>
      </c>
      <c r="J31" s="225"/>
      <c r="K31" s="226">
        <f>IF(VLOOKUP($I$7,six,1,FALSE)=$I$7,VLOOKUP($I$7,six,6,FALSE),"")</f>
        <v>10</v>
      </c>
      <c r="L31" s="404">
        <f>IF(L28="","",+L28/N28)</f>
        <v>2.3529411764705883</v>
      </c>
      <c r="M31" s="225"/>
      <c r="N31" s="226">
        <f>IF(VLOOKUP($L$7,six,1,FALSE)=$L$7,VLOOKUP($L$7,six,6,FALSE),"")</f>
        <v>15</v>
      </c>
      <c r="O31" s="404">
        <f>IF(O28="","",+O28/Q28)</f>
        <v>1.4871794871794872</v>
      </c>
      <c r="P31" s="225"/>
      <c r="Q31" s="226">
        <f>IF(VLOOKUP($O$7,six,1,FALSE)=$O$7,VLOOKUP($O$7,six,6,FALSE),"")</f>
        <v>6</v>
      </c>
      <c r="R31" s="483"/>
      <c r="S31" s="484"/>
      <c r="T31" s="485"/>
      <c r="Y31" s="1"/>
    </row>
    <row r="32" spans="1:20" ht="9" customHeight="1">
      <c r="A32" s="1"/>
      <c r="B32" s="75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3"/>
      <c r="Q32" s="73"/>
      <c r="R32" s="73"/>
      <c r="S32" s="73"/>
      <c r="T32" s="74"/>
    </row>
    <row r="33" spans="1:20" ht="18">
      <c r="A33" s="5"/>
      <c r="B33" s="209" t="str">
        <f>"date:  "&amp;dat</f>
        <v>date:  les 20 et 21/03/2010</v>
      </c>
      <c r="C33" s="76"/>
      <c r="D33" s="73"/>
      <c r="E33" s="73"/>
      <c r="F33" s="73"/>
      <c r="G33" s="73"/>
      <c r="I33" s="229" t="s">
        <v>0</v>
      </c>
      <c r="J33" s="243" t="str">
        <f>dirjeu</f>
        <v>Robert GALABERT</v>
      </c>
      <c r="K33" s="228"/>
      <c r="L33" s="73"/>
      <c r="M33" s="73"/>
      <c r="N33" s="244" t="s">
        <v>101</v>
      </c>
      <c r="O33" s="245"/>
      <c r="P33" s="245"/>
      <c r="Q33" s="245"/>
      <c r="R33" s="246">
        <f>SUM(H37:H42)/SUM(I37:I42)</f>
        <v>1.9171374764595104</v>
      </c>
      <c r="S33" s="73"/>
      <c r="T33" s="73"/>
    </row>
    <row r="34" spans="1:20" ht="9.75" customHeight="1" thickBot="1">
      <c r="A34" s="1"/>
      <c r="B34" s="73"/>
      <c r="C34" s="73"/>
      <c r="D34" s="73"/>
      <c r="E34" s="73"/>
      <c r="F34" s="73"/>
      <c r="G34" s="77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30" ht="13.5" customHeight="1" thickBot="1">
      <c r="B35" s="368"/>
      <c r="C35" s="369"/>
      <c r="D35" s="359"/>
      <c r="E35" s="370" t="s">
        <v>20</v>
      </c>
      <c r="F35" s="369"/>
      <c r="G35" s="371"/>
      <c r="H35" s="370" t="s">
        <v>21</v>
      </c>
      <c r="I35" s="370" t="s">
        <v>21</v>
      </c>
      <c r="J35" s="448" t="s">
        <v>22</v>
      </c>
      <c r="K35" s="449"/>
      <c r="L35" s="448" t="s">
        <v>23</v>
      </c>
      <c r="M35" s="449"/>
      <c r="N35" s="370" t="s">
        <v>24</v>
      </c>
      <c r="O35" s="370" t="s">
        <v>25</v>
      </c>
      <c r="P35" s="501" t="s">
        <v>26</v>
      </c>
      <c r="Q35" s="502"/>
      <c r="R35" s="73"/>
      <c r="V35" s="121"/>
      <c r="W35" s="122"/>
      <c r="X35" s="123" t="s">
        <v>21</v>
      </c>
      <c r="Y35" s="123" t="s">
        <v>21</v>
      </c>
      <c r="Z35" s="124" t="s">
        <v>23</v>
      </c>
      <c r="AA35" s="124" t="s">
        <v>23</v>
      </c>
      <c r="AB35" s="124" t="s">
        <v>23</v>
      </c>
      <c r="AC35" s="125" t="s">
        <v>24</v>
      </c>
      <c r="AD35" s="126" t="s">
        <v>25</v>
      </c>
    </row>
    <row r="36" spans="2:30" ht="19.5" customHeight="1" thickBot="1">
      <c r="B36" s="363" t="s">
        <v>2</v>
      </c>
      <c r="C36" s="364" t="s">
        <v>3</v>
      </c>
      <c r="D36" s="365"/>
      <c r="E36" s="366" t="s">
        <v>15</v>
      </c>
      <c r="F36" s="367" t="s">
        <v>4</v>
      </c>
      <c r="G36" s="365"/>
      <c r="H36" s="366" t="s">
        <v>7</v>
      </c>
      <c r="I36" s="366" t="s">
        <v>11</v>
      </c>
      <c r="J36" s="450" t="s">
        <v>27</v>
      </c>
      <c r="K36" s="451"/>
      <c r="L36" s="450" t="s">
        <v>28</v>
      </c>
      <c r="M36" s="451"/>
      <c r="N36" s="366" t="s">
        <v>8</v>
      </c>
      <c r="O36" s="366" t="s">
        <v>29</v>
      </c>
      <c r="P36" s="503"/>
      <c r="Q36" s="504"/>
      <c r="R36" s="73"/>
      <c r="V36" s="121"/>
      <c r="W36" s="127" t="s">
        <v>2</v>
      </c>
      <c r="X36" s="128" t="s">
        <v>7</v>
      </c>
      <c r="Y36" s="128" t="s">
        <v>11</v>
      </c>
      <c r="Z36" s="128" t="s">
        <v>85</v>
      </c>
      <c r="AA36" s="129" t="s">
        <v>28</v>
      </c>
      <c r="AB36" s="130" t="s">
        <v>82</v>
      </c>
      <c r="AC36" s="128" t="s">
        <v>8</v>
      </c>
      <c r="AD36" s="131" t="s">
        <v>29</v>
      </c>
    </row>
    <row r="37" spans="2:31" ht="19.5" customHeight="1">
      <c r="B37" s="372" t="str">
        <f aca="true" t="shared" si="0" ref="B37:B42">$W37</f>
        <v>GERARD</v>
      </c>
      <c r="C37" s="373" t="str">
        <f aca="true" t="shared" si="1" ref="C37:C42">VLOOKUP($B37,init,2,FALSE)</f>
        <v>Claude</v>
      </c>
      <c r="D37" s="374"/>
      <c r="E37" s="375" t="str">
        <f aca="true" t="shared" si="2" ref="E37:E42">VLOOKUP($B37,init,4,FALSE)</f>
        <v>111086-O</v>
      </c>
      <c r="F37" s="373" t="str">
        <f aca="true" t="shared" si="3" ref="F37:F42">VLOOKUP($B37,init,3,FALSE)</f>
        <v>St Gaudens</v>
      </c>
      <c r="G37" s="376"/>
      <c r="H37" s="377">
        <f aca="true" t="shared" si="4" ref="H37:H42">$X37</f>
        <v>400</v>
      </c>
      <c r="I37" s="377">
        <f aca="true" t="shared" si="5" ref="I37:I42">$Y37</f>
        <v>144</v>
      </c>
      <c r="J37" s="460">
        <f aca="true" t="shared" si="6" ref="J37:J42">H37/I37</f>
        <v>2.7777777777777777</v>
      </c>
      <c r="K37" s="461"/>
      <c r="L37" s="462">
        <f aca="true" t="shared" si="7" ref="L37:L42">+AA37</f>
        <v>4.2105263157894735</v>
      </c>
      <c r="M37" s="463"/>
      <c r="N37" s="396">
        <f aca="true" t="shared" si="8" ref="N37:N42">+AC37</f>
        <v>20</v>
      </c>
      <c r="O37" s="393">
        <f aca="true" t="shared" si="9" ref="O37:O42">+AD37</f>
        <v>10</v>
      </c>
      <c r="P37" s="497" t="s">
        <v>30</v>
      </c>
      <c r="Q37" s="498"/>
      <c r="R37" s="73"/>
      <c r="U37">
        <f aca="true" t="shared" si="10" ref="U37:U42">VLOOKUP(B37,init6,6,FALSE)</f>
        <v>1</v>
      </c>
      <c r="V37" s="132" t="s">
        <v>30</v>
      </c>
      <c r="W37" s="133" t="str">
        <f>NOM1</f>
        <v>GERARD</v>
      </c>
      <c r="X37" s="134">
        <f>VLOOKUP($X$24,un,2,FALSE)</f>
        <v>400</v>
      </c>
      <c r="Y37" s="134">
        <f>VLOOKUP($X$24,un,3,FALSE)</f>
        <v>144</v>
      </c>
      <c r="Z37" s="185">
        <f aca="true" t="shared" si="11" ref="Z37:Z42">X37/Y37</f>
        <v>2.7777777777777777</v>
      </c>
      <c r="AA37" s="185">
        <f>VLOOKUP($X$24,un,5,FALSE)</f>
        <v>4.2105263157894735</v>
      </c>
      <c r="AB37" s="185">
        <f>VLOOKUP($X$24,un,8,FALSE)</f>
        <v>2.7906976744186047</v>
      </c>
      <c r="AC37" s="134">
        <f>VLOOKUP($X$24,un,6,FALSE)</f>
        <v>20</v>
      </c>
      <c r="AD37" s="135">
        <f>VLOOKUP($X$24,un,7,FALSE)</f>
        <v>10</v>
      </c>
      <c r="AE37" s="136" t="s">
        <v>30</v>
      </c>
    </row>
    <row r="38" spans="2:31" ht="21.75" customHeight="1">
      <c r="B38" s="378" t="str">
        <f t="shared" si="0"/>
        <v>LIS</v>
      </c>
      <c r="C38" s="379" t="str">
        <f t="shared" si="1"/>
        <v>Daniel</v>
      </c>
      <c r="D38" s="380"/>
      <c r="E38" s="381" t="str">
        <f t="shared" si="2"/>
        <v>022590-W</v>
      </c>
      <c r="F38" s="379" t="str">
        <f t="shared" si="3"/>
        <v>Tarbes</v>
      </c>
      <c r="G38" s="382"/>
      <c r="H38" s="383">
        <f t="shared" si="4"/>
        <v>373</v>
      </c>
      <c r="I38" s="383">
        <f t="shared" si="5"/>
        <v>188</v>
      </c>
      <c r="J38" s="452">
        <f t="shared" si="6"/>
        <v>1.9840425531914894</v>
      </c>
      <c r="K38" s="453"/>
      <c r="L38" s="456">
        <f t="shared" si="7"/>
        <v>2.1052631578947367</v>
      </c>
      <c r="M38" s="457"/>
      <c r="N38" s="397">
        <f t="shared" si="8"/>
        <v>11</v>
      </c>
      <c r="O38" s="394">
        <f t="shared" si="9"/>
        <v>8</v>
      </c>
      <c r="P38" s="499" t="s">
        <v>31</v>
      </c>
      <c r="Q38" s="500"/>
      <c r="R38" s="73"/>
      <c r="U38">
        <f t="shared" si="10"/>
        <v>5</v>
      </c>
      <c r="V38" s="137" t="s">
        <v>31</v>
      </c>
      <c r="W38" s="138" t="str">
        <f>NOM5</f>
        <v>LIS</v>
      </c>
      <c r="X38" s="139">
        <f>VLOOKUP($X$24,cin,2,FALSE)</f>
        <v>373</v>
      </c>
      <c r="Y38" s="139">
        <f>VLOOKUP($X$24,cin,3,FALSE)</f>
        <v>188</v>
      </c>
      <c r="Z38" s="186">
        <f t="shared" si="11"/>
        <v>1.9840425531914894</v>
      </c>
      <c r="AA38" s="186">
        <f>VLOOKUP($X$24,cin,5,FALSE)</f>
        <v>2.1052631578947367</v>
      </c>
      <c r="AB38" s="186">
        <f>VLOOKUP($X$24,cin,8,FALSE)</f>
        <v>1.9672131147540983</v>
      </c>
      <c r="AC38" s="139">
        <f>VLOOKUP($X$24,cin,6,FALSE)</f>
        <v>11</v>
      </c>
      <c r="AD38" s="140">
        <f>VLOOKUP($X$24,cin,7,FALSE)</f>
        <v>8</v>
      </c>
      <c r="AE38" s="141" t="s">
        <v>31</v>
      </c>
    </row>
    <row r="39" spans="2:31" ht="21.75" customHeight="1">
      <c r="B39" s="378" t="str">
        <f t="shared" si="0"/>
        <v>REMY</v>
      </c>
      <c r="C39" s="379" t="str">
        <f t="shared" si="1"/>
        <v>Robert</v>
      </c>
      <c r="D39" s="380"/>
      <c r="E39" s="381" t="str">
        <f t="shared" si="2"/>
        <v>022499-J</v>
      </c>
      <c r="F39" s="379" t="str">
        <f t="shared" si="3"/>
        <v>St-Gaudens</v>
      </c>
      <c r="G39" s="382"/>
      <c r="H39" s="383">
        <f t="shared" si="4"/>
        <v>360</v>
      </c>
      <c r="I39" s="383">
        <f t="shared" si="5"/>
        <v>171</v>
      </c>
      <c r="J39" s="452">
        <f t="shared" si="6"/>
        <v>2.1052631578947367</v>
      </c>
      <c r="K39" s="453"/>
      <c r="L39" s="456">
        <f t="shared" si="7"/>
        <v>2.5806451612903225</v>
      </c>
      <c r="M39" s="457"/>
      <c r="N39" s="397">
        <f t="shared" si="8"/>
        <v>15</v>
      </c>
      <c r="O39" s="394">
        <f t="shared" si="9"/>
        <v>6</v>
      </c>
      <c r="P39" s="508" t="s">
        <v>32</v>
      </c>
      <c r="Q39" s="509"/>
      <c r="R39" s="73"/>
      <c r="U39">
        <f t="shared" si="10"/>
        <v>6</v>
      </c>
      <c r="V39" s="137" t="s">
        <v>32</v>
      </c>
      <c r="W39" s="138" t="str">
        <f>NOM6</f>
        <v>REMY</v>
      </c>
      <c r="X39" s="139">
        <f>VLOOKUP($X$24,six,2,FALSE)</f>
        <v>360</v>
      </c>
      <c r="Y39" s="139">
        <f>VLOOKUP($X$24,six,3,FALSE)</f>
        <v>171</v>
      </c>
      <c r="Z39" s="186">
        <f t="shared" si="11"/>
        <v>2.1052631578947367</v>
      </c>
      <c r="AA39" s="186">
        <f>VLOOKUP($X$24,six,5,FALSE)</f>
        <v>2.5806451612903225</v>
      </c>
      <c r="AB39" s="186">
        <f>VLOOKUP($X$24,six,8,FALSE)</f>
        <v>2.198019801980198</v>
      </c>
      <c r="AC39" s="139">
        <f>VLOOKUP($X$24,six,6,FALSE)</f>
        <v>15</v>
      </c>
      <c r="AD39" s="140">
        <f>VLOOKUP($X$24,six,7,FALSE)</f>
        <v>6</v>
      </c>
      <c r="AE39" s="141" t="s">
        <v>32</v>
      </c>
    </row>
    <row r="40" spans="2:31" ht="21" customHeight="1">
      <c r="B40" s="378" t="str">
        <f t="shared" si="0"/>
        <v>GARDAIS</v>
      </c>
      <c r="C40" s="379" t="str">
        <f t="shared" si="1"/>
        <v>Jean  </v>
      </c>
      <c r="D40" s="380"/>
      <c r="E40" s="381" t="str">
        <f t="shared" si="2"/>
        <v>110833-V</v>
      </c>
      <c r="F40" s="379" t="str">
        <f t="shared" si="3"/>
        <v>Tarbes</v>
      </c>
      <c r="G40" s="382"/>
      <c r="H40" s="383">
        <f t="shared" si="4"/>
        <v>292</v>
      </c>
      <c r="I40" s="383">
        <f t="shared" si="5"/>
        <v>171</v>
      </c>
      <c r="J40" s="452">
        <f t="shared" si="6"/>
        <v>1.7076023391812865</v>
      </c>
      <c r="K40" s="453"/>
      <c r="L40" s="456">
        <f t="shared" si="7"/>
        <v>2.051282051282051</v>
      </c>
      <c r="M40" s="457"/>
      <c r="N40" s="397">
        <f t="shared" si="8"/>
        <v>11</v>
      </c>
      <c r="O40" s="394">
        <f t="shared" si="9"/>
        <v>2</v>
      </c>
      <c r="P40" s="508" t="s">
        <v>33</v>
      </c>
      <c r="Q40" s="509"/>
      <c r="R40" s="73"/>
      <c r="U40">
        <f t="shared" si="10"/>
        <v>2</v>
      </c>
      <c r="V40" s="137" t="s">
        <v>33</v>
      </c>
      <c r="W40" s="138" t="str">
        <f>NOM2</f>
        <v>GARDAIS</v>
      </c>
      <c r="X40" s="139">
        <f>VLOOKUP($X$24,deu,2,FALSE)</f>
        <v>292</v>
      </c>
      <c r="Y40" s="139">
        <f>VLOOKUP($X$24,deu,3,FALSE)</f>
        <v>171</v>
      </c>
      <c r="Z40" s="186">
        <f t="shared" si="11"/>
        <v>1.7076023391812865</v>
      </c>
      <c r="AA40" s="186">
        <f>VLOOKUP($X$24,deu,5,FALSE)</f>
        <v>2.051282051282051</v>
      </c>
      <c r="AB40" s="186">
        <f>VLOOKUP($X$24,deu,8,FALSE)</f>
        <v>1.990990990990991</v>
      </c>
      <c r="AC40" s="139">
        <f>VLOOKUP($X$24,deu,6,FALSE)</f>
        <v>11</v>
      </c>
      <c r="AD40" s="140">
        <f>VLOOKUP($X$24,deu,7,FALSE)</f>
        <v>2</v>
      </c>
      <c r="AE40" s="141" t="s">
        <v>33</v>
      </c>
    </row>
    <row r="41" spans="2:31" ht="21" customHeight="1">
      <c r="B41" s="378" t="str">
        <f t="shared" si="0"/>
        <v>CASIMIR</v>
      </c>
      <c r="C41" s="379" t="str">
        <f t="shared" si="1"/>
        <v>Christan</v>
      </c>
      <c r="D41" s="380"/>
      <c r="E41" s="381" t="str">
        <f t="shared" si="2"/>
        <v>022648-C</v>
      </c>
      <c r="F41" s="379" t="str">
        <f t="shared" si="3"/>
        <v>Cahors</v>
      </c>
      <c r="G41" s="382"/>
      <c r="H41" s="383">
        <f t="shared" si="4"/>
        <v>312</v>
      </c>
      <c r="I41" s="383">
        <f t="shared" si="5"/>
        <v>197</v>
      </c>
      <c r="J41" s="452">
        <f t="shared" si="6"/>
        <v>1.583756345177665</v>
      </c>
      <c r="K41" s="453"/>
      <c r="L41" s="456">
        <f t="shared" si="7"/>
        <v>2.1052631578947367</v>
      </c>
      <c r="M41" s="457"/>
      <c r="N41" s="397">
        <f t="shared" si="8"/>
        <v>12</v>
      </c>
      <c r="O41" s="394">
        <f t="shared" si="9"/>
        <v>2</v>
      </c>
      <c r="P41" s="508" t="s">
        <v>35</v>
      </c>
      <c r="Q41" s="509"/>
      <c r="R41" s="73"/>
      <c r="U41">
        <f t="shared" si="10"/>
        <v>3</v>
      </c>
      <c r="V41" s="142" t="s">
        <v>35</v>
      </c>
      <c r="W41" s="147" t="str">
        <f>NOM3</f>
        <v>CASIMIR</v>
      </c>
      <c r="X41" s="148">
        <f>VLOOKUP($X$24,tro,2,FALSE)</f>
        <v>312</v>
      </c>
      <c r="Y41" s="148">
        <f>VLOOKUP($X$24,tro,3,FALSE)</f>
        <v>197</v>
      </c>
      <c r="Z41" s="187">
        <f t="shared" si="11"/>
        <v>1.583756345177665</v>
      </c>
      <c r="AA41" s="187">
        <f>VLOOKUP($X$24,tro,5,FALSE)</f>
        <v>2.1052631578947367</v>
      </c>
      <c r="AB41" s="187">
        <f>VLOOKUP($X$24,tro,8,FALSE)</f>
        <v>1.728813559322034</v>
      </c>
      <c r="AC41" s="148">
        <f>VLOOKUP($X$24,tro,6,FALSE)</f>
        <v>12</v>
      </c>
      <c r="AD41" s="149">
        <f>VLOOKUP($X$24,tro,7,FALSE)</f>
        <v>2</v>
      </c>
      <c r="AE41" s="146" t="s">
        <v>35</v>
      </c>
    </row>
    <row r="42" spans="1:31" ht="20.25" customHeight="1" thickBot="1">
      <c r="A42" s="1"/>
      <c r="B42" s="384" t="str">
        <f t="shared" si="0"/>
        <v>DUFFAUD</v>
      </c>
      <c r="C42" s="385" t="str">
        <f t="shared" si="1"/>
        <v>Jean-Philippe</v>
      </c>
      <c r="D42" s="386"/>
      <c r="E42" s="387" t="str">
        <f t="shared" si="2"/>
        <v>022847-W</v>
      </c>
      <c r="F42" s="385" t="str">
        <f t="shared" si="3"/>
        <v>Arize</v>
      </c>
      <c r="G42" s="388"/>
      <c r="H42" s="389">
        <f t="shared" si="4"/>
        <v>299</v>
      </c>
      <c r="I42" s="389">
        <f t="shared" si="5"/>
        <v>191</v>
      </c>
      <c r="J42" s="454">
        <f t="shared" si="6"/>
        <v>1.5654450261780104</v>
      </c>
      <c r="K42" s="455"/>
      <c r="L42" s="458">
        <f t="shared" si="7"/>
        <v>1.6666666666666667</v>
      </c>
      <c r="M42" s="459"/>
      <c r="N42" s="398">
        <f t="shared" si="8"/>
        <v>8</v>
      </c>
      <c r="O42" s="395">
        <f t="shared" si="9"/>
        <v>2</v>
      </c>
      <c r="P42" s="510" t="s">
        <v>42</v>
      </c>
      <c r="Q42" s="511"/>
      <c r="R42" s="73"/>
      <c r="U42">
        <f t="shared" si="10"/>
        <v>4</v>
      </c>
      <c r="V42" s="137" t="s">
        <v>42</v>
      </c>
      <c r="W42" s="143" t="str">
        <f>NOM4</f>
        <v>DUFFAUD</v>
      </c>
      <c r="X42" s="144">
        <f>VLOOKUP($X$24,qua,2,FALSE)</f>
        <v>299</v>
      </c>
      <c r="Y42" s="144">
        <f>VLOOKUP($X$24,qua,3,FALSE)</f>
        <v>191</v>
      </c>
      <c r="Z42" s="188">
        <f t="shared" si="11"/>
        <v>1.5654450261780104</v>
      </c>
      <c r="AA42" s="188">
        <f>VLOOKUP($X$24,qua,5,FALSE)</f>
        <v>1.6666666666666667</v>
      </c>
      <c r="AB42" s="188">
        <f>VLOOKUP($X$24,qua,8,FALSE)</f>
        <v>1.5809523809523809</v>
      </c>
      <c r="AC42" s="144">
        <f>VLOOKUP($X$24,qua,6,FALSE)</f>
        <v>8</v>
      </c>
      <c r="AD42" s="145">
        <f>VLOOKUP($X$24,qua,7,FALSE)</f>
        <v>2</v>
      </c>
      <c r="AE42" s="141" t="s">
        <v>42</v>
      </c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sheetProtection/>
  <mergeCells count="115">
    <mergeCell ref="P41:Q41"/>
    <mergeCell ref="P42:Q42"/>
    <mergeCell ref="R16:R17"/>
    <mergeCell ref="T16:T17"/>
    <mergeCell ref="P39:Q39"/>
    <mergeCell ref="P40:Q40"/>
    <mergeCell ref="R24:R25"/>
    <mergeCell ref="T24:T25"/>
    <mergeCell ref="R20:R21"/>
    <mergeCell ref="T20:T21"/>
    <mergeCell ref="B2:T2"/>
    <mergeCell ref="B1:T1"/>
    <mergeCell ref="P37:Q37"/>
    <mergeCell ref="P38:Q38"/>
    <mergeCell ref="P35:Q36"/>
    <mergeCell ref="R7:T7"/>
    <mergeCell ref="R8:R9"/>
    <mergeCell ref="T8:T9"/>
    <mergeCell ref="R12:R13"/>
    <mergeCell ref="T12:T13"/>
    <mergeCell ref="O7:Q7"/>
    <mergeCell ref="C7:E7"/>
    <mergeCell ref="F7:H7"/>
    <mergeCell ref="I7:K7"/>
    <mergeCell ref="L7:N7"/>
    <mergeCell ref="Q8:Q9"/>
    <mergeCell ref="L8:L9"/>
    <mergeCell ref="O8:O9"/>
    <mergeCell ref="K8:K9"/>
    <mergeCell ref="N8:N9"/>
    <mergeCell ref="B16:B17"/>
    <mergeCell ref="B20:B21"/>
    <mergeCell ref="B24:B25"/>
    <mergeCell ref="B8:B9"/>
    <mergeCell ref="B28:B29"/>
    <mergeCell ref="C12:C13"/>
    <mergeCell ref="B12:B13"/>
    <mergeCell ref="C28:C29"/>
    <mergeCell ref="C16:C17"/>
    <mergeCell ref="E16:E17"/>
    <mergeCell ref="C20:C21"/>
    <mergeCell ref="E20:E21"/>
    <mergeCell ref="C24:C25"/>
    <mergeCell ref="E24:E25"/>
    <mergeCell ref="O12:O13"/>
    <mergeCell ref="Q12:Q13"/>
    <mergeCell ref="F24:F25"/>
    <mergeCell ref="H24:H25"/>
    <mergeCell ref="I12:I13"/>
    <mergeCell ref="K12:K13"/>
    <mergeCell ref="I20:I21"/>
    <mergeCell ref="K20:K21"/>
    <mergeCell ref="F16:F17"/>
    <mergeCell ref="H16:H17"/>
    <mergeCell ref="O16:O17"/>
    <mergeCell ref="Q16:Q17"/>
    <mergeCell ref="L16:L17"/>
    <mergeCell ref="N16:N17"/>
    <mergeCell ref="O20:O21"/>
    <mergeCell ref="Q20:Q21"/>
    <mergeCell ref="L20:N23"/>
    <mergeCell ref="F28:F29"/>
    <mergeCell ref="H28:H29"/>
    <mergeCell ref="O28:O29"/>
    <mergeCell ref="Q28:Q29"/>
    <mergeCell ref="O24:Q27"/>
    <mergeCell ref="R28:T31"/>
    <mergeCell ref="L28:L29"/>
    <mergeCell ref="N28:N29"/>
    <mergeCell ref="L24:L25"/>
    <mergeCell ref="N24:N25"/>
    <mergeCell ref="E28:E29"/>
    <mergeCell ref="F20:F21"/>
    <mergeCell ref="H20:H21"/>
    <mergeCell ref="F8:F9"/>
    <mergeCell ref="H8:H9"/>
    <mergeCell ref="I16:K19"/>
    <mergeCell ref="I28:I29"/>
    <mergeCell ref="K28:K29"/>
    <mergeCell ref="I24:I25"/>
    <mergeCell ref="K24:K25"/>
    <mergeCell ref="L12:L13"/>
    <mergeCell ref="N12:N13"/>
    <mergeCell ref="L3:N3"/>
    <mergeCell ref="L4:N4"/>
    <mergeCell ref="F12:H15"/>
    <mergeCell ref="C8:E11"/>
    <mergeCell ref="I8:I9"/>
    <mergeCell ref="E12:E13"/>
    <mergeCell ref="R3:T3"/>
    <mergeCell ref="R4:T4"/>
    <mergeCell ref="C4:E4"/>
    <mergeCell ref="F4:H4"/>
    <mergeCell ref="C3:E3"/>
    <mergeCell ref="F3:H3"/>
    <mergeCell ref="O3:Q3"/>
    <mergeCell ref="O4:Q4"/>
    <mergeCell ref="I3:K3"/>
    <mergeCell ref="I4:K4"/>
    <mergeCell ref="J39:K39"/>
    <mergeCell ref="J40:K40"/>
    <mergeCell ref="L37:M37"/>
    <mergeCell ref="L38:M38"/>
    <mergeCell ref="L39:M39"/>
    <mergeCell ref="L40:M40"/>
    <mergeCell ref="J35:K35"/>
    <mergeCell ref="L35:M35"/>
    <mergeCell ref="J36:K36"/>
    <mergeCell ref="L36:M36"/>
    <mergeCell ref="J41:K41"/>
    <mergeCell ref="J42:K42"/>
    <mergeCell ref="L41:M41"/>
    <mergeCell ref="L42:M42"/>
    <mergeCell ref="J37:K37"/>
    <mergeCell ref="J38:K38"/>
  </mergeCells>
  <conditionalFormatting sqref="G10 J10 M10 P10 S10 D14 J14 M14 P14 S14 D18 G18 M18 P18 S18 D22 G22 J22 P22 S22 D26 G26 J26 M26 S26 D30 G30 J30 M30 P30">
    <cfRule type="cellIs" priority="1" dxfId="8" operator="equal" stopIfTrue="1">
      <formula>0</formula>
    </cfRule>
    <cfRule type="cellIs" priority="2" dxfId="5" operator="equal" stopIfTrue="1">
      <formula>1</formula>
    </cfRule>
    <cfRule type="cellIs" priority="3" dxfId="9" operator="equal" stopIfTrue="1">
      <formula>2</formula>
    </cfRule>
  </conditionalFormatting>
  <printOptions horizontalCentered="1"/>
  <pageMargins left="0.11811023622047245" right="0.1968503937007874" top="0.15748031496062992" bottom="0.1968503937007874" header="0" footer="0"/>
  <pageSetup horizontalDpi="300" verticalDpi="300" orientation="landscape" paperSize="9" scale="8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146"/>
  <sheetViews>
    <sheetView zoomScale="75" zoomScaleNormal="75" zoomScalePageLayoutView="0" workbookViewId="0" topLeftCell="A5">
      <selection activeCell="C5" sqref="C5"/>
    </sheetView>
  </sheetViews>
  <sheetFormatPr defaultColWidth="11.5546875" defaultRowHeight="15"/>
  <cols>
    <col min="1" max="1" width="4.4453125" style="0" customWidth="1"/>
    <col min="2" max="2" width="4.77734375" style="0" customWidth="1"/>
    <col min="4" max="4" width="12.88671875" style="0" customWidth="1"/>
    <col min="7" max="7" width="10.21484375" style="0" customWidth="1"/>
    <col min="11" max="11" width="8.4453125" style="0" customWidth="1"/>
    <col min="12" max="12" width="4.88671875" style="0" customWidth="1"/>
  </cols>
  <sheetData>
    <row r="1" spans="2:12" ht="25.5" customHeight="1" thickTop="1">
      <c r="B1" s="512" t="s">
        <v>74</v>
      </c>
      <c r="C1" s="513"/>
      <c r="D1" s="513"/>
      <c r="E1" s="513"/>
      <c r="F1" s="513"/>
      <c r="G1" s="513"/>
      <c r="H1" s="513"/>
      <c r="I1" s="513"/>
      <c r="J1" s="513"/>
      <c r="K1" s="513"/>
      <c r="L1" s="514"/>
    </row>
    <row r="2" spans="2:12" ht="15">
      <c r="B2" s="107"/>
      <c r="C2" s="23"/>
      <c r="D2" s="23"/>
      <c r="E2" s="23"/>
      <c r="F2" s="23"/>
      <c r="G2" s="23"/>
      <c r="H2" s="23"/>
      <c r="I2" s="23"/>
      <c r="J2" s="23"/>
      <c r="K2" s="23"/>
      <c r="L2" s="108"/>
    </row>
    <row r="3" spans="2:12" ht="16.5" thickBot="1">
      <c r="B3" s="109"/>
      <c r="C3" s="110" t="str">
        <f>design1</f>
        <v>NATIONALE 2</v>
      </c>
      <c r="D3" s="110"/>
      <c r="E3" s="111" t="str">
        <f>design2</f>
        <v>LIGUE</v>
      </c>
      <c r="F3" s="112"/>
      <c r="G3" s="113" t="s">
        <v>75</v>
      </c>
      <c r="H3" s="114" t="str">
        <f>bill</f>
        <v>2m80</v>
      </c>
      <c r="I3" s="113" t="s">
        <v>76</v>
      </c>
      <c r="J3" s="114">
        <f>DISTANCE</f>
        <v>80</v>
      </c>
      <c r="K3" s="110" t="s">
        <v>25</v>
      </c>
      <c r="L3" s="120"/>
    </row>
    <row r="4" ht="15.75" thickTop="1"/>
    <row r="5" ht="15">
      <c r="I5" s="115" t="str">
        <f>modjeu</f>
        <v>BANDE</v>
      </c>
    </row>
    <row r="6" ht="15">
      <c r="B6" s="116" t="s">
        <v>77</v>
      </c>
    </row>
    <row r="7" ht="15.75">
      <c r="C7" s="117">
        <v>1</v>
      </c>
    </row>
    <row r="8" spans="3:10" ht="15">
      <c r="C8" s="116" t="s">
        <v>14</v>
      </c>
      <c r="E8" s="116" t="s">
        <v>3</v>
      </c>
      <c r="G8" s="54" t="s">
        <v>4</v>
      </c>
      <c r="I8" s="515" t="s">
        <v>78</v>
      </c>
      <c r="J8" s="515"/>
    </row>
    <row r="9" spans="3:10" ht="15.75">
      <c r="C9" s="118" t="str">
        <f>VLOOKUP($C7,init1,2,FALSE)</f>
        <v>GERARD</v>
      </c>
      <c r="D9" s="118"/>
      <c r="E9" s="118" t="str">
        <f>VLOOKUP($C7,init1,3,FALSE)</f>
        <v>Claude</v>
      </c>
      <c r="F9" s="118"/>
      <c r="G9" s="100" t="str">
        <f>VLOOKUP($C7,init1,4,FALSE)</f>
        <v>St Gaudens</v>
      </c>
      <c r="H9" s="118"/>
      <c r="I9" s="465" t="str">
        <f>VLOOKUP($C7,init1,5,FALSE)</f>
        <v>111086-O</v>
      </c>
      <c r="J9" s="465"/>
    </row>
    <row r="11" ht="15.75" thickBot="1"/>
    <row r="12" spans="3:11" ht="24" customHeight="1" thickBot="1">
      <c r="C12" s="154" t="s">
        <v>79</v>
      </c>
      <c r="D12" s="155" t="s">
        <v>80</v>
      </c>
      <c r="E12" s="156" t="s">
        <v>7</v>
      </c>
      <c r="F12" s="156" t="s">
        <v>11</v>
      </c>
      <c r="G12" s="156" t="s">
        <v>12</v>
      </c>
      <c r="H12" s="156" t="s">
        <v>13</v>
      </c>
      <c r="I12" s="156" t="s">
        <v>8</v>
      </c>
      <c r="J12" s="157" t="s">
        <v>81</v>
      </c>
      <c r="K12" s="158" t="s">
        <v>82</v>
      </c>
    </row>
    <row r="13" spans="1:13" ht="24" customHeight="1">
      <c r="A13" s="23" t="str">
        <f>C$7&amp;1</f>
        <v>11</v>
      </c>
      <c r="C13" s="159">
        <f>VLOOKUP($A13,trifin1,3,FALSE)</f>
        <v>4</v>
      </c>
      <c r="D13" s="160" t="str">
        <f>VLOOKUP($A13,trifin1,9,FALSE)</f>
        <v>REMY</v>
      </c>
      <c r="E13" s="156">
        <f>IF(VLOOKUP($A13,trifin1,5,FALSE)=0,"",VLOOKUP($A13,trifin1,5,FALSE))</f>
        <v>80</v>
      </c>
      <c r="F13" s="156">
        <f>IF(VLOOKUP($A13,trifin1,6,FALSE)=0,"",VLOOKUP($A13,trifin1,6,FALSE))</f>
        <v>33</v>
      </c>
      <c r="G13" s="405">
        <f aca="true" t="shared" si="0" ref="G13:G18">IF(F13="","",E13/F13)</f>
        <v>2.4242424242424243</v>
      </c>
      <c r="H13" s="405">
        <f>IF(E13=DISTANCE,G13,"-")</f>
        <v>2.4242424242424243</v>
      </c>
      <c r="I13" s="156">
        <f>IF(VLOOKUP($A13,trifin1,7,FALSE)=0,"",VLOOKUP($A13,trifin1,7,FALSE))</f>
        <v>17</v>
      </c>
      <c r="J13" s="161">
        <f>VLOOKUP($A13,trifin1,8,FALSE)</f>
        <v>2</v>
      </c>
      <c r="K13" s="162"/>
      <c r="M13">
        <v>1</v>
      </c>
    </row>
    <row r="14" spans="1:13" ht="24" customHeight="1">
      <c r="A14" s="23" t="str">
        <f>C$7&amp;2</f>
        <v>12</v>
      </c>
      <c r="C14" s="163">
        <f>VLOOKUP($A14,trifin1,3,FALSE)</f>
        <v>5</v>
      </c>
      <c r="D14" s="164" t="str">
        <f>VLOOKUP($A14,trifin1,9,FALSE)</f>
        <v>LIS</v>
      </c>
      <c r="E14" s="165">
        <f>IF(VLOOKUP($A14,trifin1,5,FALSE)=0,"",VLOOKUP($A14,trifin1,5,FALSE))</f>
        <v>80</v>
      </c>
      <c r="F14" s="165">
        <f>IF(VLOOKUP($A14,trifin1,6,FALSE)=0,"",VLOOKUP($A14,trifin1,6,FALSE))</f>
        <v>25</v>
      </c>
      <c r="G14" s="406">
        <f t="shared" si="0"/>
        <v>3.2</v>
      </c>
      <c r="H14" s="406">
        <f>IF(E14=DISTANCE,G14,"-")</f>
        <v>3.2</v>
      </c>
      <c r="I14" s="165">
        <f>IF(VLOOKUP($A14,trifin1,7,FALSE)=0,"",VLOOKUP($A14,trifin1,7,FALSE))</f>
        <v>20</v>
      </c>
      <c r="J14" s="165">
        <f>VLOOKUP($A14,trifin1,8,FALSE)</f>
        <v>2</v>
      </c>
      <c r="K14" s="166"/>
      <c r="M14">
        <v>2</v>
      </c>
    </row>
    <row r="15" spans="1:13" ht="24" customHeight="1">
      <c r="A15" s="23" t="str">
        <f>C$7&amp;3</f>
        <v>13</v>
      </c>
      <c r="C15" s="163">
        <f>VLOOKUP($A15,trifin1,3,FALSE)</f>
        <v>9</v>
      </c>
      <c r="D15" s="164" t="str">
        <f>VLOOKUP($A15,trifin1,9,FALSE)</f>
        <v>DUFFAUD</v>
      </c>
      <c r="E15" s="165">
        <f>IF(VLOOKUP($A15,trifin1,5,FALSE)=0,"",VLOOKUP($A15,trifin1,5,FALSE))</f>
        <v>80</v>
      </c>
      <c r="F15" s="165">
        <f>IF(VLOOKUP($A15,trifin1,6,FALSE)=0,"",VLOOKUP($A15,trifin1,6,FALSE))</f>
        <v>32</v>
      </c>
      <c r="G15" s="406">
        <f t="shared" si="0"/>
        <v>2.5</v>
      </c>
      <c r="H15" s="406">
        <f>IF(E15=DISTANCE,G15,"-")</f>
        <v>2.5</v>
      </c>
      <c r="I15" s="165">
        <f>IF(VLOOKUP($A15,trifin1,7,FALSE)=0,"",VLOOKUP($A15,trifin1,7,FALSE))</f>
        <v>13</v>
      </c>
      <c r="J15" s="165">
        <f>VLOOKUP($A15,trifin1,8,FALSE)</f>
        <v>2</v>
      </c>
      <c r="K15" s="408">
        <f>IF(I15="","-",SUM(E13:E15)/SUM(F13:F15))</f>
        <v>2.6666666666666665</v>
      </c>
      <c r="M15">
        <v>3</v>
      </c>
    </row>
    <row r="16" spans="1:13" ht="24" customHeight="1">
      <c r="A16" s="23" t="str">
        <f>C$7&amp;4</f>
        <v>14</v>
      </c>
      <c r="C16" s="163">
        <f>VLOOKUP($A16,trifin1,3,FALSE)</f>
        <v>11</v>
      </c>
      <c r="D16" s="164" t="str">
        <f>VLOOKUP($A16,trifin1,9,FALSE)</f>
        <v>CASIMIR</v>
      </c>
      <c r="E16" s="165">
        <f>IF(VLOOKUP($A16,trifin1,5,FALSE)=0,"",VLOOKUP($A16,trifin1,5,FALSE))</f>
        <v>80</v>
      </c>
      <c r="F16" s="165">
        <f>IF(VLOOKUP($A16,trifin1,6,FALSE)=0,"",VLOOKUP($A16,trifin1,6,FALSE))</f>
        <v>35</v>
      </c>
      <c r="G16" s="406">
        <f t="shared" si="0"/>
        <v>2.2857142857142856</v>
      </c>
      <c r="H16" s="406">
        <f>IF(E16=DISTANCE,G16,"-")</f>
        <v>2.2857142857142856</v>
      </c>
      <c r="I16" s="165">
        <f>IF(VLOOKUP($A16,trifin1,7,FALSE)=0,"",VLOOKUP($A16,trifin1,7,FALSE))</f>
        <v>13</v>
      </c>
      <c r="J16" s="165">
        <f>VLOOKUP($A16,trifin1,8,FALSE)</f>
        <v>2</v>
      </c>
      <c r="K16" s="408">
        <f>IF(I16="","-",SUM(E14:E16)/SUM(F14:F16))</f>
        <v>2.608695652173913</v>
      </c>
      <c r="M16">
        <v>4</v>
      </c>
    </row>
    <row r="17" spans="1:13" ht="24" customHeight="1" thickBot="1">
      <c r="A17" s="23" t="str">
        <f>C$7&amp;5</f>
        <v>15</v>
      </c>
      <c r="C17" s="167">
        <f>VLOOKUP($A17,trifin1,3,FALSE)</f>
        <v>15</v>
      </c>
      <c r="D17" s="168" t="str">
        <f>VLOOKUP($A17,trifin1,9,FALSE)</f>
        <v>GARDAIS</v>
      </c>
      <c r="E17" s="172">
        <f>IF(VLOOKUP($A17,trifin1,5,FALSE)=0,"",VLOOKUP($A17,trifin1,5,FALSE))</f>
        <v>80</v>
      </c>
      <c r="F17" s="172">
        <f>IF(VLOOKUP($A17,trifin1,6,FALSE)=0,"",VLOOKUP($A17,trifin1,6,FALSE))</f>
        <v>19</v>
      </c>
      <c r="G17" s="407">
        <f t="shared" si="0"/>
        <v>4.2105263157894735</v>
      </c>
      <c r="H17" s="407">
        <f>IF(E17=DISTANCE,G17,"-")</f>
        <v>4.2105263157894735</v>
      </c>
      <c r="I17" s="172">
        <f>IF(VLOOKUP($A17,trifin1,7,FALSE)=0,"",VLOOKUP($A17,trifin1,7,FALSE))</f>
        <v>17</v>
      </c>
      <c r="J17" s="169">
        <f>VLOOKUP($A17,trifin1,8,FALSE)</f>
        <v>2</v>
      </c>
      <c r="K17" s="409">
        <f>IF(I17="","-",SUM(E15:E17)/SUM(F15:F17))</f>
        <v>2.7906976744186047</v>
      </c>
      <c r="M17">
        <v>5</v>
      </c>
    </row>
    <row r="18" spans="3:11" ht="24" customHeight="1" thickBot="1">
      <c r="C18" s="170"/>
      <c r="D18" s="171" t="s">
        <v>83</v>
      </c>
      <c r="E18" s="172">
        <f>IF(E13="","",SUM(E13:E17))</f>
        <v>400</v>
      </c>
      <c r="F18" s="172">
        <f>IF(F13="","",SUM(F13:F17))</f>
        <v>144</v>
      </c>
      <c r="G18" s="407">
        <f t="shared" si="0"/>
        <v>2.7777777777777777</v>
      </c>
      <c r="H18" s="407">
        <f>IF(F18="","",MAX(H13:H17))</f>
        <v>4.2105263157894735</v>
      </c>
      <c r="I18" s="173">
        <f>IF(F18="","",MAX(I13:I17))</f>
        <v>20</v>
      </c>
      <c r="J18" s="174">
        <f>IF(F18="","",SUM(J13:J17))</f>
        <v>10</v>
      </c>
      <c r="K18" s="410">
        <f>IF(F18="","",MAX(K13:K17))</f>
        <v>2.7906976744186047</v>
      </c>
    </row>
    <row r="20" spans="3:6" ht="15.75">
      <c r="C20" s="516" t="s">
        <v>84</v>
      </c>
      <c r="D20" s="516"/>
      <c r="E20" s="516"/>
      <c r="F20" s="117" t="str">
        <f>VLOOKUP($C9,clasfin2,9,FALSE)</f>
        <v>1er</v>
      </c>
    </row>
    <row r="22" spans="3:8" ht="23.25">
      <c r="C22" s="119" t="str">
        <f>lieue</f>
        <v>BILLARD CLUB SAINT-GAUDENS</v>
      </c>
      <c r="D22" s="119"/>
      <c r="E22" s="119"/>
      <c r="F22" s="119"/>
      <c r="H22" s="118" t="str">
        <f>dat</f>
        <v>les 20 et 21/03/2010</v>
      </c>
    </row>
    <row r="24" ht="15.75" thickBot="1"/>
    <row r="25" spans="2:12" ht="24" thickTop="1">
      <c r="B25" s="512" t="s">
        <v>74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4"/>
    </row>
    <row r="26" spans="2:12" ht="15">
      <c r="B26" s="107"/>
      <c r="C26" s="23"/>
      <c r="D26" s="23"/>
      <c r="E26" s="23"/>
      <c r="F26" s="23"/>
      <c r="G26" s="23"/>
      <c r="H26" s="23"/>
      <c r="I26" s="23"/>
      <c r="J26" s="23"/>
      <c r="K26" s="23"/>
      <c r="L26" s="108"/>
    </row>
    <row r="27" spans="2:12" ht="16.5" thickBot="1">
      <c r="B27" s="109"/>
      <c r="C27" s="110" t="str">
        <f>design1</f>
        <v>NATIONALE 2</v>
      </c>
      <c r="D27" s="110"/>
      <c r="E27" s="111" t="str">
        <f>design2</f>
        <v>LIGUE</v>
      </c>
      <c r="F27" s="112"/>
      <c r="G27" s="113" t="s">
        <v>75</v>
      </c>
      <c r="H27" s="114" t="str">
        <f>bill</f>
        <v>2m80</v>
      </c>
      <c r="I27" s="113" t="s">
        <v>76</v>
      </c>
      <c r="J27" s="114">
        <f>DISTANCE</f>
        <v>80</v>
      </c>
      <c r="K27" s="110" t="s">
        <v>25</v>
      </c>
      <c r="L27" s="120"/>
    </row>
    <row r="28" ht="15.75" thickTop="1"/>
    <row r="29" ht="15">
      <c r="I29" s="115" t="str">
        <f>modjeu</f>
        <v>BANDE</v>
      </c>
    </row>
    <row r="30" ht="15">
      <c r="B30" s="116" t="s">
        <v>77</v>
      </c>
    </row>
    <row r="31" ht="15.75">
      <c r="C31" s="117">
        <v>2</v>
      </c>
    </row>
    <row r="32" spans="3:10" ht="15">
      <c r="C32" s="116" t="s">
        <v>14</v>
      </c>
      <c r="E32" s="116" t="s">
        <v>3</v>
      </c>
      <c r="G32" s="54" t="s">
        <v>4</v>
      </c>
      <c r="I32" s="515" t="s">
        <v>78</v>
      </c>
      <c r="J32" s="515"/>
    </row>
    <row r="33" spans="3:10" ht="15.75">
      <c r="C33" s="118" t="str">
        <f>VLOOKUP($C31,init1,2,FALSE)</f>
        <v>GARDAIS</v>
      </c>
      <c r="D33" s="118"/>
      <c r="E33" s="118" t="str">
        <f>VLOOKUP($C31,init1,3,FALSE)</f>
        <v>Jean  </v>
      </c>
      <c r="F33" s="118"/>
      <c r="G33" s="100" t="str">
        <f>VLOOKUP($C31,init1,4,FALSE)</f>
        <v>Tarbes</v>
      </c>
      <c r="H33" s="118"/>
      <c r="I33" s="465" t="str">
        <f>VLOOKUP($C31,init1,5,FALSE)</f>
        <v>110833-V</v>
      </c>
      <c r="J33" s="465"/>
    </row>
    <row r="35" ht="15.75" thickBot="1"/>
    <row r="36" spans="3:11" ht="24" customHeight="1" thickBot="1">
      <c r="C36" s="154" t="s">
        <v>79</v>
      </c>
      <c r="D36" s="155" t="s">
        <v>80</v>
      </c>
      <c r="E36" s="156" t="s">
        <v>7</v>
      </c>
      <c r="F36" s="156" t="s">
        <v>11</v>
      </c>
      <c r="G36" s="156" t="s">
        <v>12</v>
      </c>
      <c r="H36" s="156" t="s">
        <v>13</v>
      </c>
      <c r="I36" s="156" t="s">
        <v>8</v>
      </c>
      <c r="J36" s="157" t="s">
        <v>81</v>
      </c>
      <c r="K36" s="158" t="s">
        <v>82</v>
      </c>
    </row>
    <row r="37" spans="1:13" ht="24" customHeight="1">
      <c r="A37" s="23" t="str">
        <f>C$31&amp;1</f>
        <v>21</v>
      </c>
      <c r="C37" s="159">
        <f>VLOOKUP($A37,trifin1,3,FALSE)</f>
        <v>2</v>
      </c>
      <c r="D37" s="160" t="str">
        <f>VLOOKUP($A37,trifin1,9,FALSE)</f>
        <v>LIS</v>
      </c>
      <c r="E37" s="156">
        <f>IF(VLOOKUP($A37,trifin1,5,FALSE)=0,"",VLOOKUP($A37,trifin1,5,FALSE))</f>
        <v>48</v>
      </c>
      <c r="F37" s="156">
        <f>IF(VLOOKUP($A37,trifin1,6,FALSE)=0,"",VLOOKUP($A37,trifin1,6,FALSE))</f>
        <v>41</v>
      </c>
      <c r="G37" s="405">
        <f aca="true" t="shared" si="1" ref="G37:G42">IF(F37="","",E37/F37)</f>
        <v>1.170731707317073</v>
      </c>
      <c r="H37" s="405" t="str">
        <f>IF(E37=DISTANCE,G37,"-")</f>
        <v>-</v>
      </c>
      <c r="I37" s="156">
        <f>IF(VLOOKUP($A37,trifin1,7,FALSE)=0,"",VLOOKUP($A37,trifin1,7,FALSE))</f>
        <v>5</v>
      </c>
      <c r="J37" s="161">
        <f>VLOOKUP($A37,trifin1,8,FALSE)</f>
        <v>0</v>
      </c>
      <c r="K37" s="162"/>
      <c r="M37">
        <v>1</v>
      </c>
    </row>
    <row r="38" spans="1:13" ht="24" customHeight="1">
      <c r="A38" s="23" t="str">
        <f>C$31&amp;2</f>
        <v>22</v>
      </c>
      <c r="C38" s="163">
        <f>VLOOKUP($A38,trifin1,3,FALSE)</f>
        <v>3</v>
      </c>
      <c r="D38" s="164" t="str">
        <f>VLOOKUP($A38,trifin1,9,FALSE)</f>
        <v>CASIMIR</v>
      </c>
      <c r="E38" s="165">
        <f>IF(VLOOKUP($A38,trifin1,5,FALSE)=0,"",VLOOKUP($A38,trifin1,5,FALSE))</f>
        <v>68</v>
      </c>
      <c r="F38" s="165">
        <f>IF(VLOOKUP($A38,trifin1,6,FALSE)=0,"",VLOOKUP($A38,trifin1,6,FALSE))</f>
        <v>38</v>
      </c>
      <c r="G38" s="406">
        <f t="shared" si="1"/>
        <v>1.7894736842105263</v>
      </c>
      <c r="H38" s="406" t="str">
        <f>IF(E38=DISTANCE,G38,"-")</f>
        <v>-</v>
      </c>
      <c r="I38" s="165">
        <f>IF(VLOOKUP($A38,trifin1,7,FALSE)=0,"",VLOOKUP($A38,trifin1,7,FALSE))</f>
        <v>11</v>
      </c>
      <c r="J38" s="165">
        <f>VLOOKUP($A38,trifin1,8,FALSE)</f>
        <v>0</v>
      </c>
      <c r="K38" s="166"/>
      <c r="M38">
        <v>2</v>
      </c>
    </row>
    <row r="39" spans="1:13" ht="24" customHeight="1">
      <c r="A39" s="23" t="str">
        <f>C$31&amp;3</f>
        <v>23</v>
      </c>
      <c r="C39" s="163">
        <f>VLOOKUP($A39,trifin1,3,FALSE)</f>
        <v>7</v>
      </c>
      <c r="D39" s="164" t="str">
        <f>VLOOKUP($A39,trifin1,9,FALSE)</f>
        <v>REMY</v>
      </c>
      <c r="E39" s="165">
        <f>IF(VLOOKUP($A39,trifin1,5,FALSE)=0,"",VLOOKUP($A39,trifin1,5,FALSE))</f>
        <v>73</v>
      </c>
      <c r="F39" s="165">
        <f>IF(VLOOKUP($A39,trifin1,6,FALSE)=0,"",VLOOKUP($A39,trifin1,6,FALSE))</f>
        <v>34</v>
      </c>
      <c r="G39" s="406">
        <f t="shared" si="1"/>
        <v>2.1470588235294117</v>
      </c>
      <c r="H39" s="406" t="str">
        <f>IF(E39=DISTANCE,G39,"-")</f>
        <v>-</v>
      </c>
      <c r="I39" s="165">
        <f>IF(VLOOKUP($A39,trifin1,7,FALSE)=0,"",VLOOKUP($A39,trifin1,7,FALSE))</f>
        <v>8</v>
      </c>
      <c r="J39" s="165">
        <f>VLOOKUP($A39,trifin1,8,FALSE)</f>
        <v>0</v>
      </c>
      <c r="K39" s="408">
        <f>IF(I39="","-",SUM(E37:E39)/SUM(F37:F39))</f>
        <v>1.6725663716814159</v>
      </c>
      <c r="M39">
        <v>3</v>
      </c>
    </row>
    <row r="40" spans="1:13" ht="24" customHeight="1">
      <c r="A40" s="23" t="str">
        <f>C$31&amp;4</f>
        <v>24</v>
      </c>
      <c r="C40" s="163">
        <f>VLOOKUP($A40,trifin1,3,FALSE)</f>
        <v>12</v>
      </c>
      <c r="D40" s="164" t="str">
        <f>VLOOKUP($A40,trifin1,9,FALSE)</f>
        <v>DUFFAUD</v>
      </c>
      <c r="E40" s="165">
        <f>IF(VLOOKUP($A40,trifin1,5,FALSE)=0,"",VLOOKUP($A40,trifin1,5,FALSE))</f>
        <v>80</v>
      </c>
      <c r="F40" s="165">
        <f>IF(VLOOKUP($A40,trifin1,6,FALSE)=0,"",VLOOKUP($A40,trifin1,6,FALSE))</f>
        <v>39</v>
      </c>
      <c r="G40" s="406">
        <f t="shared" si="1"/>
        <v>2.051282051282051</v>
      </c>
      <c r="H40" s="406">
        <f>IF(E40=DISTANCE,G40,"-")</f>
        <v>2.051282051282051</v>
      </c>
      <c r="I40" s="165">
        <f>IF(VLOOKUP($A40,trifin1,7,FALSE)=0,"",VLOOKUP($A40,trifin1,7,FALSE))</f>
        <v>10</v>
      </c>
      <c r="J40" s="165">
        <f>VLOOKUP($A40,trifin1,8,FALSE)</f>
        <v>2</v>
      </c>
      <c r="K40" s="408">
        <f>IF(I40="","-",SUM(E38:E40)/SUM(F38:F40))</f>
        <v>1.990990990990991</v>
      </c>
      <c r="M40">
        <v>4</v>
      </c>
    </row>
    <row r="41" spans="1:13" ht="24" customHeight="1" thickBot="1">
      <c r="A41" s="23" t="str">
        <f>C$31&amp;5</f>
        <v>25</v>
      </c>
      <c r="C41" s="167">
        <f>VLOOKUP($A41,trifin1,3,FALSE)</f>
        <v>15</v>
      </c>
      <c r="D41" s="168" t="str">
        <f>VLOOKUP($A41,trifin1,9,FALSE)</f>
        <v>GERARD</v>
      </c>
      <c r="E41" s="172">
        <f>IF(VLOOKUP($A41,trifin1,5,FALSE)=0,"",VLOOKUP($A41,trifin1,5,FALSE))</f>
        <v>23</v>
      </c>
      <c r="F41" s="172">
        <f>IF(VLOOKUP($A41,trifin1,6,FALSE)=0,"",VLOOKUP($A41,trifin1,6,FALSE))</f>
        <v>19</v>
      </c>
      <c r="G41" s="407">
        <f t="shared" si="1"/>
        <v>1.2105263157894737</v>
      </c>
      <c r="H41" s="407" t="str">
        <f>IF(E41=DISTANCE,G41,"-")</f>
        <v>-</v>
      </c>
      <c r="I41" s="172">
        <f>IF(VLOOKUP($A41,trifin1,7,FALSE)=0,"",VLOOKUP($A41,trifin1,7,FALSE))</f>
        <v>5</v>
      </c>
      <c r="J41" s="169">
        <f>VLOOKUP($A41,trifin1,8,FALSE)</f>
        <v>0</v>
      </c>
      <c r="K41" s="409">
        <f>IF(I41="","-",SUM(E39:E41)/SUM(F39:F41))</f>
        <v>1.9130434782608696</v>
      </c>
      <c r="M41">
        <v>5</v>
      </c>
    </row>
    <row r="42" spans="3:11" ht="24" customHeight="1" thickBot="1">
      <c r="C42" s="170"/>
      <c r="D42" s="171" t="s">
        <v>83</v>
      </c>
      <c r="E42" s="172">
        <f>IF(E37="","",SUM(E37:E41))</f>
        <v>292</v>
      </c>
      <c r="F42" s="172">
        <f>IF(F37="","",SUM(F37:F41))</f>
        <v>171</v>
      </c>
      <c r="G42" s="407">
        <f t="shared" si="1"/>
        <v>1.7076023391812865</v>
      </c>
      <c r="H42" s="407">
        <f>IF(F42="","",MAX(H37:H41))</f>
        <v>2.051282051282051</v>
      </c>
      <c r="I42" s="173">
        <f>IF(F42="","",MAX(I37:I41))</f>
        <v>11</v>
      </c>
      <c r="J42" s="174">
        <f>IF(F42="","",SUM(J37:J41))</f>
        <v>2</v>
      </c>
      <c r="K42" s="410">
        <f>IF(F42="","",MAX(K37:K41))</f>
        <v>1.990990990990991</v>
      </c>
    </row>
    <row r="44" spans="3:6" ht="15.75">
      <c r="C44" s="516" t="s">
        <v>84</v>
      </c>
      <c r="D44" s="516"/>
      <c r="E44" s="516"/>
      <c r="F44" s="117" t="str">
        <f>VLOOKUP($C33,clasfin2,9,FALSE)</f>
        <v>4ème</v>
      </c>
    </row>
    <row r="46" spans="3:8" ht="23.25">
      <c r="C46" s="119" t="str">
        <f>lieue</f>
        <v>BILLARD CLUB SAINT-GAUDENS</v>
      </c>
      <c r="D46" s="119"/>
      <c r="E46" s="119"/>
      <c r="F46" s="119"/>
      <c r="H46" s="118" t="str">
        <f>dat</f>
        <v>les 20 et 21/03/2010</v>
      </c>
    </row>
    <row r="50" ht="15.75" thickBot="1"/>
    <row r="51" spans="2:12" ht="24" thickTop="1">
      <c r="B51" s="512" t="s">
        <v>74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4"/>
    </row>
    <row r="52" spans="2:12" ht="15">
      <c r="B52" s="107"/>
      <c r="C52" s="23"/>
      <c r="D52" s="23"/>
      <c r="E52" s="23"/>
      <c r="F52" s="23"/>
      <c r="G52" s="23"/>
      <c r="H52" s="23"/>
      <c r="I52" s="23"/>
      <c r="J52" s="23"/>
      <c r="K52" s="23"/>
      <c r="L52" s="108"/>
    </row>
    <row r="53" spans="2:12" ht="16.5" thickBot="1">
      <c r="B53" s="109"/>
      <c r="C53" s="110" t="str">
        <f>design1</f>
        <v>NATIONALE 2</v>
      </c>
      <c r="D53" s="110"/>
      <c r="E53" s="111" t="str">
        <f>design2</f>
        <v>LIGUE</v>
      </c>
      <c r="F53" s="112"/>
      <c r="G53" s="113" t="s">
        <v>75</v>
      </c>
      <c r="H53" s="114" t="str">
        <f>bill</f>
        <v>2m80</v>
      </c>
      <c r="I53" s="113" t="s">
        <v>76</v>
      </c>
      <c r="J53" s="114">
        <f>DISTANCE</f>
        <v>80</v>
      </c>
      <c r="K53" s="110" t="s">
        <v>25</v>
      </c>
      <c r="L53" s="120"/>
    </row>
    <row r="54" ht="15.75" thickTop="1"/>
    <row r="55" ht="15">
      <c r="I55" s="115" t="str">
        <f>modjeu</f>
        <v>BANDE</v>
      </c>
    </row>
    <row r="56" ht="15">
      <c r="B56" s="116" t="s">
        <v>77</v>
      </c>
    </row>
    <row r="57" ht="15.75">
      <c r="C57" s="117">
        <v>3</v>
      </c>
    </row>
    <row r="58" spans="3:10" ht="15">
      <c r="C58" s="116" t="s">
        <v>14</v>
      </c>
      <c r="E58" s="116" t="s">
        <v>3</v>
      </c>
      <c r="G58" s="54" t="s">
        <v>4</v>
      </c>
      <c r="I58" s="515" t="s">
        <v>78</v>
      </c>
      <c r="J58" s="515"/>
    </row>
    <row r="59" spans="3:10" ht="15.75">
      <c r="C59" s="118" t="str">
        <f>VLOOKUP($C57,init1,2,FALSE)</f>
        <v>CASIMIR</v>
      </c>
      <c r="D59" s="118"/>
      <c r="E59" s="118" t="str">
        <f>VLOOKUP($C57,init1,3,FALSE)</f>
        <v>Christan</v>
      </c>
      <c r="F59" s="118"/>
      <c r="G59" s="100" t="str">
        <f>VLOOKUP($C57,init1,4,FALSE)</f>
        <v>Cahors</v>
      </c>
      <c r="H59" s="118"/>
      <c r="I59" s="465" t="str">
        <f>VLOOKUP($C57,init1,5,FALSE)</f>
        <v>022648-C</v>
      </c>
      <c r="J59" s="465"/>
    </row>
    <row r="61" ht="15.75" thickBot="1"/>
    <row r="62" spans="3:11" ht="24" customHeight="1" thickBot="1">
      <c r="C62" s="154" t="s">
        <v>79</v>
      </c>
      <c r="D62" s="155" t="s">
        <v>80</v>
      </c>
      <c r="E62" s="156" t="s">
        <v>7</v>
      </c>
      <c r="F62" s="156" t="s">
        <v>11</v>
      </c>
      <c r="G62" s="156" t="s">
        <v>12</v>
      </c>
      <c r="H62" s="156" t="s">
        <v>13</v>
      </c>
      <c r="I62" s="156" t="s">
        <v>8</v>
      </c>
      <c r="J62" s="157" t="s">
        <v>81</v>
      </c>
      <c r="K62" s="158" t="s">
        <v>82</v>
      </c>
    </row>
    <row r="63" spans="1:13" ht="24" customHeight="1">
      <c r="A63" s="23" t="str">
        <f>C$57&amp;1</f>
        <v>31</v>
      </c>
      <c r="C63" s="159">
        <f>VLOOKUP($A63,trifin1,3,FALSE)</f>
        <v>1</v>
      </c>
      <c r="D63" s="160" t="str">
        <f>VLOOKUP($A63,trifin1,9,FALSE)</f>
        <v>DUFFAUD</v>
      </c>
      <c r="E63" s="156">
        <f>IF(VLOOKUP($A63,trifin1,5,FALSE)=0,"",VLOOKUP($A63,trifin1,5,FALSE))</f>
        <v>69</v>
      </c>
      <c r="F63" s="156">
        <f>IF(VLOOKUP($A63,trifin1,6,FALSE)=0,"",VLOOKUP($A63,trifin1,6,FALSE))</f>
        <v>48</v>
      </c>
      <c r="G63" s="405">
        <f aca="true" t="shared" si="2" ref="G63:G68">IF(F63="","",E63/F63)</f>
        <v>1.4375</v>
      </c>
      <c r="H63" s="405" t="str">
        <f>IF(E63=DISTANCE,G63,"-")</f>
        <v>-</v>
      </c>
      <c r="I63" s="156">
        <f>IF(VLOOKUP($A63,trifin1,7,FALSE)=0,"",VLOOKUP($A63,trifin1,7,FALSE))</f>
        <v>4</v>
      </c>
      <c r="J63" s="161">
        <f>VLOOKUP($A63,trifin1,8,FALSE)</f>
        <v>0</v>
      </c>
      <c r="K63" s="162"/>
      <c r="M63">
        <v>1</v>
      </c>
    </row>
    <row r="64" spans="1:13" ht="24" customHeight="1">
      <c r="A64" s="23" t="str">
        <f>C$57&amp;2</f>
        <v>32</v>
      </c>
      <c r="C64" s="163">
        <f>VLOOKUP($A64,trifin1,3,FALSE)</f>
        <v>3</v>
      </c>
      <c r="D64" s="164" t="str">
        <f>VLOOKUP($A64,trifin1,9,FALSE)</f>
        <v>GARDAIS</v>
      </c>
      <c r="E64" s="165">
        <f>IF(VLOOKUP($A64,trifin1,5,FALSE)=0,"",VLOOKUP($A64,trifin1,5,FALSE))</f>
        <v>80</v>
      </c>
      <c r="F64" s="165">
        <f>IF(VLOOKUP($A64,trifin1,6,FALSE)=0,"",VLOOKUP($A64,trifin1,6,FALSE))</f>
        <v>38</v>
      </c>
      <c r="G64" s="406">
        <f t="shared" si="2"/>
        <v>2.1052631578947367</v>
      </c>
      <c r="H64" s="406">
        <f>IF(E64=DISTANCE,G64,"-")</f>
        <v>2.1052631578947367</v>
      </c>
      <c r="I64" s="165">
        <f>IF(VLOOKUP($A64,trifin1,7,FALSE)=0,"",VLOOKUP($A64,trifin1,7,FALSE))</f>
        <v>12</v>
      </c>
      <c r="J64" s="165">
        <f>VLOOKUP($A64,trifin1,8,FALSE)</f>
        <v>2</v>
      </c>
      <c r="K64" s="166"/>
      <c r="M64">
        <v>2</v>
      </c>
    </row>
    <row r="65" spans="1:13" ht="24" customHeight="1">
      <c r="A65" s="23" t="str">
        <f>C$57&amp;3</f>
        <v>33</v>
      </c>
      <c r="C65" s="163">
        <f>VLOOKUP($A65,trifin1,3,FALSE)</f>
        <v>8</v>
      </c>
      <c r="D65" s="164" t="str">
        <f>VLOOKUP($A65,trifin1,9,FALSE)</f>
        <v>LIS</v>
      </c>
      <c r="E65" s="165">
        <f>IF(VLOOKUP($A65,trifin1,5,FALSE)=0,"",VLOOKUP($A65,trifin1,5,FALSE))</f>
        <v>69</v>
      </c>
      <c r="F65" s="165">
        <f>IF(VLOOKUP($A65,trifin1,6,FALSE)=0,"",VLOOKUP($A65,trifin1,6,FALSE))</f>
        <v>45</v>
      </c>
      <c r="G65" s="406">
        <f t="shared" si="2"/>
        <v>1.5333333333333334</v>
      </c>
      <c r="H65" s="406" t="str">
        <f>IF(E65=DISTANCE,G65,"-")</f>
        <v>-</v>
      </c>
      <c r="I65" s="165">
        <f>IF(VLOOKUP($A65,trifin1,7,FALSE)=0,"",VLOOKUP($A65,trifin1,7,FALSE))</f>
        <v>11</v>
      </c>
      <c r="J65" s="165">
        <f>VLOOKUP($A65,trifin1,8,FALSE)</f>
        <v>0</v>
      </c>
      <c r="K65" s="408">
        <f>IF(I65="","-",SUM(E63:E65)/SUM(F63:F65))</f>
        <v>1.6641221374045803</v>
      </c>
      <c r="M65">
        <v>3</v>
      </c>
    </row>
    <row r="66" spans="1:13" ht="24" customHeight="1">
      <c r="A66" s="23" t="str">
        <f>C$57&amp;4</f>
        <v>34</v>
      </c>
      <c r="C66" s="163">
        <f>VLOOKUP($A66,trifin1,3,FALSE)</f>
        <v>11</v>
      </c>
      <c r="D66" s="164" t="str">
        <f>VLOOKUP($A66,trifin1,9,FALSE)</f>
        <v>GERARD</v>
      </c>
      <c r="E66" s="165">
        <f>IF(VLOOKUP($A66,trifin1,5,FALSE)=0,"",VLOOKUP($A66,trifin1,5,FALSE))</f>
        <v>55</v>
      </c>
      <c r="F66" s="165">
        <f>IF(VLOOKUP($A66,trifin1,6,FALSE)=0,"",VLOOKUP($A66,trifin1,6,FALSE))</f>
        <v>35</v>
      </c>
      <c r="G66" s="406">
        <f t="shared" si="2"/>
        <v>1.5714285714285714</v>
      </c>
      <c r="H66" s="406" t="str">
        <f>IF(E66=DISTANCE,G66,"-")</f>
        <v>-</v>
      </c>
      <c r="I66" s="165">
        <f>IF(VLOOKUP($A66,trifin1,7,FALSE)=0,"",VLOOKUP($A66,trifin1,7,FALSE))</f>
        <v>6</v>
      </c>
      <c r="J66" s="165">
        <f>VLOOKUP($A66,trifin1,8,FALSE)</f>
        <v>0</v>
      </c>
      <c r="K66" s="408">
        <f>IF(I66="","-",SUM(E64:E66)/SUM(F64:F66))</f>
        <v>1.728813559322034</v>
      </c>
      <c r="M66">
        <v>4</v>
      </c>
    </row>
    <row r="67" spans="1:13" ht="24" customHeight="1" thickBot="1">
      <c r="A67" s="23" t="str">
        <f>C$57&amp;5</f>
        <v>35</v>
      </c>
      <c r="C67" s="167">
        <f>VLOOKUP($A67,trifin1,3,FALSE)</f>
        <v>14</v>
      </c>
      <c r="D67" s="168" t="str">
        <f>VLOOKUP($A67,trifin1,9,FALSE)</f>
        <v>REMY</v>
      </c>
      <c r="E67" s="172">
        <f>IF(VLOOKUP($A67,trifin1,5,FALSE)=0,"",VLOOKUP($A67,trifin1,5,FALSE))</f>
        <v>39</v>
      </c>
      <c r="F67" s="172">
        <f>IF(VLOOKUP($A67,trifin1,6,FALSE)=0,"",VLOOKUP($A67,trifin1,6,FALSE))</f>
        <v>31</v>
      </c>
      <c r="G67" s="407">
        <f t="shared" si="2"/>
        <v>1.2580645161290323</v>
      </c>
      <c r="H67" s="407" t="str">
        <f>IF(E67=DISTANCE,G67,"-")</f>
        <v>-</v>
      </c>
      <c r="I67" s="172">
        <f>IF(VLOOKUP($A67,trifin1,7,FALSE)=0,"",VLOOKUP($A67,trifin1,7,FALSE))</f>
        <v>8</v>
      </c>
      <c r="J67" s="169">
        <f>VLOOKUP($A67,trifin1,8,FALSE)</f>
        <v>0</v>
      </c>
      <c r="K67" s="409">
        <f>IF(I67="","-",SUM(E65:E67)/SUM(F65:F67))</f>
        <v>1.4684684684684686</v>
      </c>
      <c r="M67">
        <v>5</v>
      </c>
    </row>
    <row r="68" spans="3:11" ht="24" customHeight="1" thickBot="1">
      <c r="C68" s="170"/>
      <c r="D68" s="171" t="s">
        <v>83</v>
      </c>
      <c r="E68" s="172">
        <f>IF(E63="","",SUM(E63:E67))</f>
        <v>312</v>
      </c>
      <c r="F68" s="172">
        <f>IF(F63="","",SUM(F63:F67))</f>
        <v>197</v>
      </c>
      <c r="G68" s="407">
        <f t="shared" si="2"/>
        <v>1.583756345177665</v>
      </c>
      <c r="H68" s="407">
        <f>IF(F68="","",MAX(H63:H67))</f>
        <v>2.1052631578947367</v>
      </c>
      <c r="I68" s="173">
        <f>IF(F68="","",MAX(I63:I67))</f>
        <v>12</v>
      </c>
      <c r="J68" s="174">
        <f>IF(F68="","",SUM(J63:J67))</f>
        <v>2</v>
      </c>
      <c r="K68" s="410">
        <f>IF(F68="","",MAX(K63:K67))</f>
        <v>1.728813559322034</v>
      </c>
    </row>
    <row r="70" spans="3:6" ht="15.75">
      <c r="C70" s="516" t="s">
        <v>84</v>
      </c>
      <c r="D70" s="516"/>
      <c r="E70" s="516"/>
      <c r="F70" s="117" t="str">
        <f>VLOOKUP($C59,clasfin2,9,FALSE)</f>
        <v>5ème</v>
      </c>
    </row>
    <row r="72" spans="3:8" ht="23.25">
      <c r="C72" s="119" t="str">
        <f>lieue</f>
        <v>BILLARD CLUB SAINT-GAUDENS</v>
      </c>
      <c r="D72" s="119"/>
      <c r="E72" s="119"/>
      <c r="F72" s="119"/>
      <c r="H72" s="118" t="str">
        <f>dat</f>
        <v>les 20 et 21/03/2010</v>
      </c>
    </row>
    <row r="74" ht="15.75" thickBot="1"/>
    <row r="75" spans="2:12" ht="24" thickTop="1">
      <c r="B75" s="512" t="s">
        <v>74</v>
      </c>
      <c r="C75" s="513"/>
      <c r="D75" s="513"/>
      <c r="E75" s="513"/>
      <c r="F75" s="513"/>
      <c r="G75" s="513"/>
      <c r="H75" s="513"/>
      <c r="I75" s="513"/>
      <c r="J75" s="513"/>
      <c r="K75" s="513"/>
      <c r="L75" s="514"/>
    </row>
    <row r="76" spans="2:12" ht="15">
      <c r="B76" s="107"/>
      <c r="C76" s="23"/>
      <c r="D76" s="23"/>
      <c r="E76" s="23"/>
      <c r="F76" s="23"/>
      <c r="G76" s="23"/>
      <c r="H76" s="23"/>
      <c r="I76" s="23"/>
      <c r="J76" s="23"/>
      <c r="K76" s="23"/>
      <c r="L76" s="108"/>
    </row>
    <row r="77" spans="2:12" ht="16.5" thickBot="1">
      <c r="B77" s="109"/>
      <c r="C77" s="110" t="str">
        <f>design1</f>
        <v>NATIONALE 2</v>
      </c>
      <c r="D77" s="110"/>
      <c r="E77" s="111" t="str">
        <f>design2</f>
        <v>LIGUE</v>
      </c>
      <c r="F77" s="112"/>
      <c r="G77" s="113" t="s">
        <v>75</v>
      </c>
      <c r="H77" s="114" t="str">
        <f>bill</f>
        <v>2m80</v>
      </c>
      <c r="I77" s="113" t="s">
        <v>76</v>
      </c>
      <c r="J77" s="114">
        <f>DISTANCE</f>
        <v>80</v>
      </c>
      <c r="K77" s="110" t="s">
        <v>25</v>
      </c>
      <c r="L77" s="120"/>
    </row>
    <row r="78" ht="15.75" thickTop="1"/>
    <row r="79" ht="15">
      <c r="I79" s="115" t="str">
        <f>modjeu</f>
        <v>BANDE</v>
      </c>
    </row>
    <row r="80" ht="15">
      <c r="B80" s="116" t="s">
        <v>77</v>
      </c>
    </row>
    <row r="81" ht="15.75">
      <c r="C81" s="117">
        <v>4</v>
      </c>
    </row>
    <row r="82" spans="3:10" ht="15">
      <c r="C82" s="116" t="s">
        <v>14</v>
      </c>
      <c r="E82" s="116" t="s">
        <v>3</v>
      </c>
      <c r="G82" s="54" t="s">
        <v>4</v>
      </c>
      <c r="I82" s="515" t="s">
        <v>78</v>
      </c>
      <c r="J82" s="515"/>
    </row>
    <row r="83" spans="3:10" ht="15.75">
      <c r="C83" s="118" t="str">
        <f>VLOOKUP($C81,init1,2,FALSE)</f>
        <v>DUFFAUD</v>
      </c>
      <c r="D83" s="118"/>
      <c r="E83" s="118" t="str">
        <f>VLOOKUP($C81,init1,3,FALSE)</f>
        <v>Jean-Philippe</v>
      </c>
      <c r="F83" s="118"/>
      <c r="G83" s="100" t="str">
        <f>VLOOKUP($C81,init1,4,FALSE)</f>
        <v>Arize</v>
      </c>
      <c r="H83" s="118"/>
      <c r="I83" s="465" t="str">
        <f>VLOOKUP($C81,init1,5,FALSE)</f>
        <v>022847-W</v>
      </c>
      <c r="J83" s="465"/>
    </row>
    <row r="85" ht="15.75" thickBot="1"/>
    <row r="86" spans="3:11" ht="24" customHeight="1" thickBot="1">
      <c r="C86" s="154" t="s">
        <v>79</v>
      </c>
      <c r="D86" s="155" t="s">
        <v>80</v>
      </c>
      <c r="E86" s="156" t="s">
        <v>7</v>
      </c>
      <c r="F86" s="156" t="s">
        <v>11</v>
      </c>
      <c r="G86" s="156" t="s">
        <v>12</v>
      </c>
      <c r="H86" s="156" t="s">
        <v>13</v>
      </c>
      <c r="I86" s="156" t="s">
        <v>8</v>
      </c>
      <c r="J86" s="157" t="s">
        <v>81</v>
      </c>
      <c r="K86" s="158" t="s">
        <v>82</v>
      </c>
    </row>
    <row r="87" spans="1:13" ht="24" customHeight="1">
      <c r="A87" s="23" t="str">
        <f>C$81&amp;1</f>
        <v>41</v>
      </c>
      <c r="C87" s="159">
        <f>VLOOKUP($A87,trifin1,3,FALSE)</f>
        <v>1</v>
      </c>
      <c r="D87" s="160" t="str">
        <f>VLOOKUP($A87,trifin1,9,FALSE)</f>
        <v>CASIMIR</v>
      </c>
      <c r="E87" s="156">
        <f>IF(VLOOKUP($A87,trifin1,5,FALSE)=0,"",VLOOKUP($A87,trifin1,5,FALSE))</f>
        <v>80</v>
      </c>
      <c r="F87" s="156">
        <f>IF(VLOOKUP($A87,trifin1,6,FALSE)=0,"",VLOOKUP($A87,trifin1,6,FALSE))</f>
        <v>48</v>
      </c>
      <c r="G87" s="405">
        <f aca="true" t="shared" si="3" ref="G87:G92">IF(F87="","",E87/F87)</f>
        <v>1.6666666666666667</v>
      </c>
      <c r="H87" s="405">
        <f>IF(E87=DISTANCE,G87,"-")</f>
        <v>1.6666666666666667</v>
      </c>
      <c r="I87" s="156">
        <f>IF(VLOOKUP($A87,trifin1,7,FALSE)=0,"",VLOOKUP($A87,trifin1,7,FALSE))</f>
        <v>8</v>
      </c>
      <c r="J87" s="161">
        <f>VLOOKUP($A87,trifin1,8,FALSE)</f>
        <v>2</v>
      </c>
      <c r="K87" s="162"/>
      <c r="M87">
        <v>1</v>
      </c>
    </row>
    <row r="88" spans="1:13" ht="24" customHeight="1">
      <c r="A88" s="23" t="str">
        <f>C$81&amp;2</f>
        <v>42</v>
      </c>
      <c r="C88" s="163">
        <f>VLOOKUP($A88,trifin1,3,FALSE)</f>
        <v>6</v>
      </c>
      <c r="D88" s="164" t="str">
        <f>VLOOKUP($A88,trifin1,9,FALSE)</f>
        <v>REMY</v>
      </c>
      <c r="E88" s="165">
        <f>IF(VLOOKUP($A88,trifin1,5,FALSE)=0,"",VLOOKUP($A88,trifin1,5,FALSE))</f>
        <v>47</v>
      </c>
      <c r="F88" s="165">
        <f>IF(VLOOKUP($A88,trifin1,6,FALSE)=0,"",VLOOKUP($A88,trifin1,6,FALSE))</f>
        <v>34</v>
      </c>
      <c r="G88" s="406">
        <f t="shared" si="3"/>
        <v>1.3823529411764706</v>
      </c>
      <c r="H88" s="406" t="str">
        <f>IF(E88=DISTANCE,G88,"-")</f>
        <v>-</v>
      </c>
      <c r="I88" s="165">
        <f>IF(VLOOKUP($A88,trifin1,7,FALSE)=0,"",VLOOKUP($A88,trifin1,7,FALSE))</f>
        <v>7</v>
      </c>
      <c r="J88" s="165">
        <f>VLOOKUP($A88,trifin1,8,FALSE)</f>
        <v>0</v>
      </c>
      <c r="K88" s="166"/>
      <c r="M88">
        <v>2</v>
      </c>
    </row>
    <row r="89" spans="1:13" ht="24" customHeight="1">
      <c r="A89" s="23" t="str">
        <f>C$81&amp;3</f>
        <v>43</v>
      </c>
      <c r="C89" s="163">
        <f>VLOOKUP($A89,trifin1,3,FALSE)</f>
        <v>9</v>
      </c>
      <c r="D89" s="164" t="str">
        <f>VLOOKUP($A89,trifin1,9,FALSE)</f>
        <v>GERARD</v>
      </c>
      <c r="E89" s="165">
        <f>IF(VLOOKUP($A89,trifin1,5,FALSE)=0,"",VLOOKUP($A89,trifin1,5,FALSE))</f>
        <v>48</v>
      </c>
      <c r="F89" s="165">
        <f>IF(VLOOKUP($A89,trifin1,6,FALSE)=0,"",VLOOKUP($A89,trifin1,6,FALSE))</f>
        <v>32</v>
      </c>
      <c r="G89" s="406">
        <f t="shared" si="3"/>
        <v>1.5</v>
      </c>
      <c r="H89" s="406" t="str">
        <f>IF(E89=DISTANCE,G89,"-")</f>
        <v>-</v>
      </c>
      <c r="I89" s="165">
        <f>IF(VLOOKUP($A89,trifin1,7,FALSE)=0,"",VLOOKUP($A89,trifin1,7,FALSE))</f>
        <v>5</v>
      </c>
      <c r="J89" s="165">
        <f>VLOOKUP($A89,trifin1,8,FALSE)</f>
        <v>0</v>
      </c>
      <c r="K89" s="408">
        <f>IF(I89="","-",SUM(E87:E89)/SUM(F87:F89))</f>
        <v>1.5350877192982457</v>
      </c>
      <c r="M89">
        <v>3</v>
      </c>
    </row>
    <row r="90" spans="1:13" ht="24" customHeight="1">
      <c r="A90" s="23" t="str">
        <f>C$81&amp;4</f>
        <v>44</v>
      </c>
      <c r="C90" s="163">
        <f>VLOOKUP($A90,trifin1,3,FALSE)</f>
        <v>12</v>
      </c>
      <c r="D90" s="164" t="str">
        <f>VLOOKUP($A90,trifin1,9,FALSE)</f>
        <v>GARDAIS</v>
      </c>
      <c r="E90" s="165">
        <f>IF(VLOOKUP($A90,trifin1,5,FALSE)=0,"",VLOOKUP($A90,trifin1,5,FALSE))</f>
        <v>71</v>
      </c>
      <c r="F90" s="165">
        <f>IF(VLOOKUP($A90,trifin1,6,FALSE)=0,"",VLOOKUP($A90,trifin1,6,FALSE))</f>
        <v>39</v>
      </c>
      <c r="G90" s="406">
        <f t="shared" si="3"/>
        <v>1.8205128205128205</v>
      </c>
      <c r="H90" s="406" t="str">
        <f>IF(E90=DISTANCE,G90,"-")</f>
        <v>-</v>
      </c>
      <c r="I90" s="165">
        <f>IF(VLOOKUP($A90,trifin1,7,FALSE)=0,"",VLOOKUP($A90,trifin1,7,FALSE))</f>
        <v>7</v>
      </c>
      <c r="J90" s="165">
        <f>VLOOKUP($A90,trifin1,8,FALSE)</f>
        <v>0</v>
      </c>
      <c r="K90" s="408">
        <f>IF(I90="","-",SUM(E88:E90)/SUM(F88:F90))</f>
        <v>1.5809523809523809</v>
      </c>
      <c r="M90">
        <v>4</v>
      </c>
    </row>
    <row r="91" spans="1:13" ht="24" customHeight="1" thickBot="1">
      <c r="A91" s="23" t="str">
        <f>C$81&amp;5</f>
        <v>45</v>
      </c>
      <c r="C91" s="167">
        <f>VLOOKUP($A91,trifin1,3,FALSE)</f>
        <v>13</v>
      </c>
      <c r="D91" s="168" t="str">
        <f>VLOOKUP($A91,trifin1,9,FALSE)</f>
        <v>LIS</v>
      </c>
      <c r="E91" s="172">
        <f>IF(VLOOKUP($A91,trifin1,5,FALSE)=0,"",VLOOKUP($A91,trifin1,5,FALSE))</f>
        <v>53</v>
      </c>
      <c r="F91" s="172">
        <f>IF(VLOOKUP($A91,trifin1,6,FALSE)=0,"",VLOOKUP($A91,trifin1,6,FALSE))</f>
        <v>38</v>
      </c>
      <c r="G91" s="407">
        <f t="shared" si="3"/>
        <v>1.394736842105263</v>
      </c>
      <c r="H91" s="407" t="str">
        <f>IF(E91=DISTANCE,G91,"-")</f>
        <v>-</v>
      </c>
      <c r="I91" s="172">
        <f>IF(VLOOKUP($A91,trifin1,7,FALSE)=0,"",VLOOKUP($A91,trifin1,7,FALSE))</f>
        <v>6</v>
      </c>
      <c r="J91" s="169">
        <f>VLOOKUP($A91,trifin1,8,FALSE)</f>
        <v>0</v>
      </c>
      <c r="K91" s="409">
        <f>IF(I91="","-",SUM(E89:E91)/SUM(F89:F91))</f>
        <v>1.5779816513761469</v>
      </c>
      <c r="M91">
        <v>5</v>
      </c>
    </row>
    <row r="92" spans="3:11" ht="24" customHeight="1" thickBot="1">
      <c r="C92" s="170"/>
      <c r="D92" s="171" t="s">
        <v>83</v>
      </c>
      <c r="E92" s="172">
        <f>IF(E87="","",SUM(E87:E91))</f>
        <v>299</v>
      </c>
      <c r="F92" s="172">
        <f>IF(F87="","",SUM(F87:F91))</f>
        <v>191</v>
      </c>
      <c r="G92" s="407">
        <f t="shared" si="3"/>
        <v>1.5654450261780104</v>
      </c>
      <c r="H92" s="407">
        <f>IF(F92="","",MAX(H87:H91))</f>
        <v>1.6666666666666667</v>
      </c>
      <c r="I92" s="173">
        <f>IF(F92="","",MAX(I87:I91))</f>
        <v>8</v>
      </c>
      <c r="J92" s="174">
        <f>IF(F92="","",SUM(J87:J91))</f>
        <v>2</v>
      </c>
      <c r="K92" s="410">
        <f>IF(F92="","",MAX(K87:K91))</f>
        <v>1.5809523809523809</v>
      </c>
    </row>
    <row r="94" spans="3:6" ht="15.75">
      <c r="C94" s="516" t="s">
        <v>84</v>
      </c>
      <c r="D94" s="516"/>
      <c r="E94" s="516"/>
      <c r="F94" s="117" t="str">
        <f>VLOOKUP($C83,clasfin2,9,FALSE)</f>
        <v>6ème</v>
      </c>
    </row>
    <row r="96" spans="3:8" ht="23.25">
      <c r="C96" s="119" t="str">
        <f>lieue</f>
        <v>BILLARD CLUB SAINT-GAUDENS</v>
      </c>
      <c r="D96" s="119"/>
      <c r="E96" s="119"/>
      <c r="F96" s="119"/>
      <c r="H96" s="118" t="str">
        <f>dat</f>
        <v>les 20 et 21/03/2010</v>
      </c>
    </row>
    <row r="100" ht="15.75" thickBot="1"/>
    <row r="101" spans="2:12" ht="24" thickTop="1">
      <c r="B101" s="512" t="s">
        <v>74</v>
      </c>
      <c r="C101" s="513"/>
      <c r="D101" s="513"/>
      <c r="E101" s="513"/>
      <c r="F101" s="513"/>
      <c r="G101" s="513"/>
      <c r="H101" s="513"/>
      <c r="I101" s="513"/>
      <c r="J101" s="513"/>
      <c r="K101" s="513"/>
      <c r="L101" s="514"/>
    </row>
    <row r="102" spans="2:12" ht="15">
      <c r="B102" s="107"/>
      <c r="C102" s="23"/>
      <c r="D102" s="23"/>
      <c r="E102" s="23"/>
      <c r="F102" s="23"/>
      <c r="G102" s="23"/>
      <c r="H102" s="23"/>
      <c r="I102" s="23"/>
      <c r="J102" s="23"/>
      <c r="K102" s="23"/>
      <c r="L102" s="108"/>
    </row>
    <row r="103" spans="2:12" ht="16.5" thickBot="1">
      <c r="B103" s="109"/>
      <c r="C103" s="110" t="str">
        <f>design1</f>
        <v>NATIONALE 2</v>
      </c>
      <c r="D103" s="110"/>
      <c r="E103" s="111" t="str">
        <f>design2</f>
        <v>LIGUE</v>
      </c>
      <c r="F103" s="112"/>
      <c r="G103" s="113" t="s">
        <v>75</v>
      </c>
      <c r="H103" s="114" t="str">
        <f>bill</f>
        <v>2m80</v>
      </c>
      <c r="I103" s="113" t="s">
        <v>76</v>
      </c>
      <c r="J103" s="114">
        <f>DISTANCE</f>
        <v>80</v>
      </c>
      <c r="K103" s="110" t="s">
        <v>25</v>
      </c>
      <c r="L103" s="120"/>
    </row>
    <row r="104" ht="15.75" thickTop="1"/>
    <row r="105" ht="15">
      <c r="I105" s="115" t="str">
        <f>modjeu</f>
        <v>BANDE</v>
      </c>
    </row>
    <row r="106" ht="15">
      <c r="B106" s="116" t="s">
        <v>77</v>
      </c>
    </row>
    <row r="107" ht="15.75">
      <c r="C107" s="117">
        <v>5</v>
      </c>
    </row>
    <row r="108" spans="3:10" ht="15">
      <c r="C108" s="116" t="s">
        <v>14</v>
      </c>
      <c r="E108" s="116" t="s">
        <v>3</v>
      </c>
      <c r="G108" s="54" t="s">
        <v>4</v>
      </c>
      <c r="I108" s="515" t="s">
        <v>78</v>
      </c>
      <c r="J108" s="515"/>
    </row>
    <row r="109" spans="3:10" ht="15.75">
      <c r="C109" s="118" t="str">
        <f>VLOOKUP($C107,init1,2,FALSE)</f>
        <v>LIS</v>
      </c>
      <c r="D109" s="118"/>
      <c r="E109" s="118" t="str">
        <f>VLOOKUP($C107,init1,3,FALSE)</f>
        <v>Daniel</v>
      </c>
      <c r="F109" s="118"/>
      <c r="G109" s="100" t="str">
        <f>VLOOKUP($C107,init1,4,FALSE)</f>
        <v>Tarbes</v>
      </c>
      <c r="H109" s="118"/>
      <c r="I109" s="465" t="str">
        <f>VLOOKUP($C107,init1,5,FALSE)</f>
        <v>022590-W</v>
      </c>
      <c r="J109" s="465"/>
    </row>
    <row r="111" ht="15.75" thickBot="1"/>
    <row r="112" spans="3:11" ht="24" customHeight="1" thickBot="1">
      <c r="C112" s="154" t="s">
        <v>79</v>
      </c>
      <c r="D112" s="155" t="s">
        <v>80</v>
      </c>
      <c r="E112" s="156" t="s">
        <v>7</v>
      </c>
      <c r="F112" s="156" t="s">
        <v>11</v>
      </c>
      <c r="G112" s="156" t="s">
        <v>12</v>
      </c>
      <c r="H112" s="156" t="s">
        <v>13</v>
      </c>
      <c r="I112" s="156" t="s">
        <v>8</v>
      </c>
      <c r="J112" s="157" t="s">
        <v>81</v>
      </c>
      <c r="K112" s="158" t="s">
        <v>82</v>
      </c>
    </row>
    <row r="113" spans="1:13" ht="24" customHeight="1">
      <c r="A113" s="23" t="str">
        <f>C$107&amp;1</f>
        <v>51</v>
      </c>
      <c r="C113" s="159">
        <f>VLOOKUP($A113,trifin1,3,FALSE)</f>
        <v>2</v>
      </c>
      <c r="D113" s="160" t="str">
        <f>VLOOKUP($A113,trifin1,9,FALSE)</f>
        <v>GARDAIS</v>
      </c>
      <c r="E113" s="156">
        <f>IF(VLOOKUP($A113,trifin1,5,FALSE)=0,"",VLOOKUP($A113,trifin1,5,FALSE))</f>
        <v>80</v>
      </c>
      <c r="F113" s="156">
        <f>IF(VLOOKUP($A113,trifin1,6,FALSE)=0,"",VLOOKUP($A113,trifin1,6,FALSE))</f>
        <v>41</v>
      </c>
      <c r="G113" s="405">
        <f aca="true" t="shared" si="4" ref="G113:G118">IF(F113="","",E113/F113)</f>
        <v>1.951219512195122</v>
      </c>
      <c r="H113" s="405">
        <f>IF(E113=DISTANCE,G113,"-")</f>
        <v>1.951219512195122</v>
      </c>
      <c r="I113" s="156">
        <f>IF(VLOOKUP($A113,trifin1,7,FALSE)=0,"",VLOOKUP($A113,trifin1,7,FALSE))</f>
        <v>11</v>
      </c>
      <c r="J113" s="161">
        <f>VLOOKUP($A113,trifin1,8,FALSE)</f>
        <v>2</v>
      </c>
      <c r="K113" s="162"/>
      <c r="M113">
        <v>1</v>
      </c>
    </row>
    <row r="114" spans="1:13" ht="24" customHeight="1">
      <c r="A114" s="23" t="str">
        <f>C$107&amp;2</f>
        <v>52</v>
      </c>
      <c r="C114" s="163">
        <f>VLOOKUP($A114,trifin1,3,FALSE)</f>
        <v>5</v>
      </c>
      <c r="D114" s="164" t="str">
        <f>VLOOKUP($A114,trifin1,9,FALSE)</f>
        <v>GERARD</v>
      </c>
      <c r="E114" s="165">
        <f>IF(VLOOKUP($A114,trifin1,5,FALSE)=0,"",VLOOKUP($A114,trifin1,5,FALSE))</f>
        <v>53</v>
      </c>
      <c r="F114" s="165">
        <f>IF(VLOOKUP($A114,trifin1,6,FALSE)=0,"",VLOOKUP($A114,trifin1,6,FALSE))</f>
        <v>25</v>
      </c>
      <c r="G114" s="406">
        <f t="shared" si="4"/>
        <v>2.12</v>
      </c>
      <c r="H114" s="406" t="str">
        <f>IF(E114=DISTANCE,G114,"-")</f>
        <v>-</v>
      </c>
      <c r="I114" s="165">
        <f>IF(VLOOKUP($A114,trifin1,7,FALSE)=0,"",VLOOKUP($A114,trifin1,7,FALSE))</f>
        <v>9</v>
      </c>
      <c r="J114" s="165">
        <f>VLOOKUP($A114,trifin1,8,FALSE)</f>
        <v>0</v>
      </c>
      <c r="K114" s="166"/>
      <c r="M114">
        <v>2</v>
      </c>
    </row>
    <row r="115" spans="1:13" ht="24" customHeight="1">
      <c r="A115" s="23" t="str">
        <f>C$107&amp;3</f>
        <v>53</v>
      </c>
      <c r="C115" s="163">
        <f>VLOOKUP($A115,trifin1,3,FALSE)</f>
        <v>8</v>
      </c>
      <c r="D115" s="164" t="str">
        <f>VLOOKUP($A115,trifin1,9,FALSE)</f>
        <v>CASIMIR</v>
      </c>
      <c r="E115" s="165">
        <f>IF(VLOOKUP($A115,trifin1,5,FALSE)=0,"",VLOOKUP($A115,trifin1,5,FALSE))</f>
        <v>80</v>
      </c>
      <c r="F115" s="165">
        <f>IF(VLOOKUP($A115,trifin1,6,FALSE)=0,"",VLOOKUP($A115,trifin1,6,FALSE))</f>
        <v>45</v>
      </c>
      <c r="G115" s="406">
        <f t="shared" si="4"/>
        <v>1.7777777777777777</v>
      </c>
      <c r="H115" s="406">
        <f>IF(E115=DISTANCE,G115,"-")</f>
        <v>1.7777777777777777</v>
      </c>
      <c r="I115" s="165">
        <f>IF(VLOOKUP($A115,trifin1,7,FALSE)=0,"",VLOOKUP($A115,trifin1,7,FALSE))</f>
        <v>8</v>
      </c>
      <c r="J115" s="165">
        <f>VLOOKUP($A115,trifin1,8,FALSE)</f>
        <v>2</v>
      </c>
      <c r="K115" s="408">
        <f>IF(I115="","-",SUM(E113:E115)/SUM(F113:F115))</f>
        <v>1.9189189189189189</v>
      </c>
      <c r="M115">
        <v>3</v>
      </c>
    </row>
    <row r="116" spans="1:13" ht="24" customHeight="1">
      <c r="A116" s="23" t="str">
        <f>C$107&amp;4</f>
        <v>54</v>
      </c>
      <c r="C116" s="163">
        <f>VLOOKUP($A116,trifin1,3,FALSE)</f>
        <v>10</v>
      </c>
      <c r="D116" s="164" t="str">
        <f>VLOOKUP($A116,trifin1,9,FALSE)</f>
        <v>REMY</v>
      </c>
      <c r="E116" s="165">
        <f>IF(VLOOKUP($A116,trifin1,5,FALSE)=0,"",VLOOKUP($A116,trifin1,5,FALSE))</f>
        <v>80</v>
      </c>
      <c r="F116" s="165">
        <f>IF(VLOOKUP($A116,trifin1,6,FALSE)=0,"",VLOOKUP($A116,trifin1,6,FALSE))</f>
        <v>39</v>
      </c>
      <c r="G116" s="406">
        <f t="shared" si="4"/>
        <v>2.051282051282051</v>
      </c>
      <c r="H116" s="406">
        <f>IF(E116=DISTANCE,G116,"-")</f>
        <v>2.051282051282051</v>
      </c>
      <c r="I116" s="165">
        <f>IF(VLOOKUP($A116,trifin1,7,FALSE)=0,"",VLOOKUP($A116,trifin1,7,FALSE))</f>
        <v>11</v>
      </c>
      <c r="J116" s="165">
        <f>VLOOKUP($A116,trifin1,8,FALSE)</f>
        <v>2</v>
      </c>
      <c r="K116" s="408">
        <f>IF(I116="","-",SUM(E114:E116)/SUM(F114:F116))</f>
        <v>1.9541284403669725</v>
      </c>
      <c r="M116">
        <v>4</v>
      </c>
    </row>
    <row r="117" spans="1:13" ht="24" customHeight="1" thickBot="1">
      <c r="A117" s="23" t="str">
        <f>C$107&amp;5</f>
        <v>55</v>
      </c>
      <c r="C117" s="167">
        <f>VLOOKUP($A117,trifin1,3,FALSE)</f>
        <v>13</v>
      </c>
      <c r="D117" s="168" t="str">
        <f>VLOOKUP($A117,trifin1,9,FALSE)</f>
        <v>DUFFAUD</v>
      </c>
      <c r="E117" s="172">
        <f>IF(VLOOKUP($A117,trifin1,5,FALSE)=0,"",VLOOKUP($A117,trifin1,5,FALSE))</f>
        <v>80</v>
      </c>
      <c r="F117" s="172">
        <f>IF(VLOOKUP($A117,trifin1,6,FALSE)=0,"",VLOOKUP($A117,trifin1,6,FALSE))</f>
        <v>38</v>
      </c>
      <c r="G117" s="407">
        <f t="shared" si="4"/>
        <v>2.1052631578947367</v>
      </c>
      <c r="H117" s="407">
        <f>IF(E117=DISTANCE,G117,"-")</f>
        <v>2.1052631578947367</v>
      </c>
      <c r="I117" s="172">
        <f>IF(VLOOKUP($A117,trifin1,7,FALSE)=0,"",VLOOKUP($A117,trifin1,7,FALSE))</f>
        <v>8</v>
      </c>
      <c r="J117" s="169">
        <f>VLOOKUP($A117,trifin1,8,FALSE)</f>
        <v>2</v>
      </c>
      <c r="K117" s="409">
        <f>IF(I117="","-",SUM(E115:E117)/SUM(F115:F117))</f>
        <v>1.9672131147540983</v>
      </c>
      <c r="M117">
        <v>5</v>
      </c>
    </row>
    <row r="118" spans="3:11" ht="24" customHeight="1" thickBot="1">
      <c r="C118" s="170"/>
      <c r="D118" s="171" t="s">
        <v>83</v>
      </c>
      <c r="E118" s="172">
        <f>IF(E113="","",SUM(E113:E117))</f>
        <v>373</v>
      </c>
      <c r="F118" s="172">
        <f>IF(F113="","",SUM(F113:F117))</f>
        <v>188</v>
      </c>
      <c r="G118" s="407">
        <f t="shared" si="4"/>
        <v>1.9840425531914894</v>
      </c>
      <c r="H118" s="407">
        <f>IF(F118="","",MAX(H113:H117))</f>
        <v>2.1052631578947367</v>
      </c>
      <c r="I118" s="173">
        <f>IF(F118="","",MAX(I113:I117))</f>
        <v>11</v>
      </c>
      <c r="J118" s="174">
        <f>IF(F118="","",SUM(J113:J117))</f>
        <v>8</v>
      </c>
      <c r="K118" s="410">
        <f>IF(F118="","",MAX(K113:K117))</f>
        <v>1.9672131147540983</v>
      </c>
    </row>
    <row r="120" spans="3:6" ht="15.75">
      <c r="C120" s="516" t="s">
        <v>84</v>
      </c>
      <c r="D120" s="516"/>
      <c r="E120" s="516"/>
      <c r="F120" s="117" t="str">
        <f>VLOOKUP($C109,clasfin2,9,FALSE)</f>
        <v>2ème</v>
      </c>
    </row>
    <row r="122" spans="3:8" ht="23.25">
      <c r="C122" s="119" t="str">
        <f>lieue</f>
        <v>BILLARD CLUB SAINT-GAUDENS</v>
      </c>
      <c r="D122" s="119"/>
      <c r="E122" s="119"/>
      <c r="F122" s="119"/>
      <c r="H122" s="118" t="str">
        <f>dat</f>
        <v>les 20 et 21/03/2010</v>
      </c>
    </row>
    <row r="124" ht="15.75" thickBot="1"/>
    <row r="125" spans="2:12" ht="24" thickTop="1">
      <c r="B125" s="512" t="s">
        <v>74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4"/>
    </row>
    <row r="126" spans="2:12" ht="15">
      <c r="B126" s="107"/>
      <c r="C126" s="23"/>
      <c r="D126" s="23"/>
      <c r="E126" s="23"/>
      <c r="F126" s="23"/>
      <c r="G126" s="23"/>
      <c r="H126" s="23"/>
      <c r="I126" s="23"/>
      <c r="J126" s="23"/>
      <c r="K126" s="23"/>
      <c r="L126" s="108"/>
    </row>
    <row r="127" spans="2:12" ht="16.5" thickBot="1">
      <c r="B127" s="109"/>
      <c r="C127" s="110" t="str">
        <f>design1</f>
        <v>NATIONALE 2</v>
      </c>
      <c r="D127" s="110"/>
      <c r="E127" s="111" t="str">
        <f>design2</f>
        <v>LIGUE</v>
      </c>
      <c r="F127" s="112"/>
      <c r="G127" s="113" t="s">
        <v>75</v>
      </c>
      <c r="H127" s="114" t="str">
        <f>bill</f>
        <v>2m80</v>
      </c>
      <c r="I127" s="113" t="s">
        <v>76</v>
      </c>
      <c r="J127" s="114">
        <f>DISTANCE</f>
        <v>80</v>
      </c>
      <c r="K127" s="110" t="s">
        <v>25</v>
      </c>
      <c r="L127" s="120"/>
    </row>
    <row r="128" ht="15.75" thickTop="1"/>
    <row r="129" ht="15">
      <c r="I129" s="115" t="str">
        <f>modjeu</f>
        <v>BANDE</v>
      </c>
    </row>
    <row r="130" ht="15">
      <c r="B130" s="116" t="s">
        <v>77</v>
      </c>
    </row>
    <row r="131" ht="15.75">
      <c r="C131" s="117">
        <v>6</v>
      </c>
    </row>
    <row r="132" spans="3:10" ht="15">
      <c r="C132" s="116" t="s">
        <v>14</v>
      </c>
      <c r="E132" s="116" t="s">
        <v>3</v>
      </c>
      <c r="G132" s="54" t="s">
        <v>4</v>
      </c>
      <c r="I132" s="515" t="s">
        <v>78</v>
      </c>
      <c r="J132" s="515"/>
    </row>
    <row r="133" spans="3:10" ht="15.75">
      <c r="C133" s="118" t="str">
        <f>VLOOKUP($C131,init1,2,FALSE)</f>
        <v>REMY</v>
      </c>
      <c r="D133" s="118"/>
      <c r="E133" s="118" t="str">
        <f>VLOOKUP($C131,init1,3,FALSE)</f>
        <v>Robert</v>
      </c>
      <c r="F133" s="118"/>
      <c r="G133" s="100" t="str">
        <f>VLOOKUP($C131,init1,4,FALSE)</f>
        <v>St-Gaudens</v>
      </c>
      <c r="H133" s="118"/>
      <c r="I133" s="465" t="str">
        <f>VLOOKUP($C131,init1,5,FALSE)</f>
        <v>022499-J</v>
      </c>
      <c r="J133" s="465"/>
    </row>
    <row r="135" ht="15.75" thickBot="1"/>
    <row r="136" spans="3:11" ht="24" customHeight="1" thickBot="1">
      <c r="C136" s="154" t="s">
        <v>79</v>
      </c>
      <c r="D136" s="155" t="s">
        <v>80</v>
      </c>
      <c r="E136" s="156" t="s">
        <v>7</v>
      </c>
      <c r="F136" s="156" t="s">
        <v>11</v>
      </c>
      <c r="G136" s="156" t="s">
        <v>12</v>
      </c>
      <c r="H136" s="156" t="s">
        <v>13</v>
      </c>
      <c r="I136" s="156" t="s">
        <v>8</v>
      </c>
      <c r="J136" s="157" t="s">
        <v>81</v>
      </c>
      <c r="K136" s="158" t="s">
        <v>82</v>
      </c>
    </row>
    <row r="137" spans="1:13" ht="24" customHeight="1">
      <c r="A137" s="23" t="str">
        <f>C$131&amp;1</f>
        <v>61</v>
      </c>
      <c r="C137" s="159">
        <f>VLOOKUP($A137,trifin1,3,FALSE)</f>
        <v>4</v>
      </c>
      <c r="D137" s="160" t="str">
        <f>VLOOKUP($A137,trifin1,9,FALSE)</f>
        <v>GERARD</v>
      </c>
      <c r="E137" s="156">
        <f>IF(VLOOKUP($A137,trifin1,5,FALSE)=0,"",VLOOKUP($A137,trifin1,5,FALSE))</f>
        <v>62</v>
      </c>
      <c r="F137" s="156">
        <f>IF(VLOOKUP($A137,trifin1,6,FALSE)=0,"",VLOOKUP($A137,trifin1,6,FALSE))</f>
        <v>33</v>
      </c>
      <c r="G137" s="405">
        <f aca="true" t="shared" si="5" ref="G137:G142">IF(F137="","",E137/F137)</f>
        <v>1.878787878787879</v>
      </c>
      <c r="H137" s="405" t="str">
        <f>IF(E137=DISTANCE,G137,"-")</f>
        <v>-</v>
      </c>
      <c r="I137" s="156">
        <f>IF(VLOOKUP($A137,trifin1,7,FALSE)=0,"",VLOOKUP($A137,trifin1,7,FALSE))</f>
        <v>8</v>
      </c>
      <c r="J137" s="161">
        <f>VLOOKUP($A137,trifin1,8,FALSE)</f>
        <v>0</v>
      </c>
      <c r="K137" s="162"/>
      <c r="M137">
        <v>1</v>
      </c>
    </row>
    <row r="138" spans="1:13" ht="24" customHeight="1">
      <c r="A138" s="23" t="str">
        <f>C$131&amp;2</f>
        <v>62</v>
      </c>
      <c r="C138" s="163">
        <f>VLOOKUP($A138,trifin1,3,FALSE)</f>
        <v>6</v>
      </c>
      <c r="D138" s="164" t="str">
        <f>VLOOKUP($A138,trifin1,9,FALSE)</f>
        <v>DUFFAUD</v>
      </c>
      <c r="E138" s="165">
        <f>IF(VLOOKUP($A138,trifin1,5,FALSE)=0,"",VLOOKUP($A138,trifin1,5,FALSE))</f>
        <v>80</v>
      </c>
      <c r="F138" s="165">
        <f>IF(VLOOKUP($A138,trifin1,6,FALSE)=0,"",VLOOKUP($A138,trifin1,6,FALSE))</f>
        <v>34</v>
      </c>
      <c r="G138" s="406">
        <f t="shared" si="5"/>
        <v>2.3529411764705883</v>
      </c>
      <c r="H138" s="406">
        <f>IF(E138=DISTANCE,G138,"-")</f>
        <v>2.3529411764705883</v>
      </c>
      <c r="I138" s="165">
        <f>IF(VLOOKUP($A138,trifin1,7,FALSE)=0,"",VLOOKUP($A138,trifin1,7,FALSE))</f>
        <v>15</v>
      </c>
      <c r="J138" s="165">
        <f>VLOOKUP($A138,trifin1,8,FALSE)</f>
        <v>2</v>
      </c>
      <c r="K138" s="166"/>
      <c r="M138">
        <v>2</v>
      </c>
    </row>
    <row r="139" spans="1:13" ht="24" customHeight="1">
      <c r="A139" s="23" t="str">
        <f>C$131&amp;3</f>
        <v>63</v>
      </c>
      <c r="C139" s="163">
        <f>VLOOKUP($A139,trifin1,3,FALSE)</f>
        <v>7</v>
      </c>
      <c r="D139" s="164" t="str">
        <f>VLOOKUP($A139,trifin1,9,FALSE)</f>
        <v>GARDAIS</v>
      </c>
      <c r="E139" s="165">
        <f>IF(VLOOKUP($A139,trifin1,5,FALSE)=0,"",VLOOKUP($A139,trifin1,5,FALSE))</f>
        <v>80</v>
      </c>
      <c r="F139" s="165">
        <f>IF(VLOOKUP($A139,trifin1,6,FALSE)=0,"",VLOOKUP($A139,trifin1,6,FALSE))</f>
        <v>34</v>
      </c>
      <c r="G139" s="406">
        <f t="shared" si="5"/>
        <v>2.3529411764705883</v>
      </c>
      <c r="H139" s="406">
        <f>IF(E139=DISTANCE,G139,"-")</f>
        <v>2.3529411764705883</v>
      </c>
      <c r="I139" s="165">
        <f>IF(VLOOKUP($A139,trifin1,7,FALSE)=0,"",VLOOKUP($A139,trifin1,7,FALSE))</f>
        <v>13</v>
      </c>
      <c r="J139" s="165">
        <f>VLOOKUP($A139,trifin1,8,FALSE)</f>
        <v>2</v>
      </c>
      <c r="K139" s="408">
        <f>IF(I139="","-",SUM(E137:E139)/SUM(F137:F139))</f>
        <v>2.198019801980198</v>
      </c>
      <c r="M139">
        <v>3</v>
      </c>
    </row>
    <row r="140" spans="1:13" ht="24" customHeight="1">
      <c r="A140" s="23" t="str">
        <f>C$131&amp;4</f>
        <v>64</v>
      </c>
      <c r="C140" s="163">
        <f>VLOOKUP($A140,trifin1,3,FALSE)</f>
        <v>10</v>
      </c>
      <c r="D140" s="164" t="str">
        <f>VLOOKUP($A140,trifin1,9,FALSE)</f>
        <v>LIS</v>
      </c>
      <c r="E140" s="165">
        <f>IF(VLOOKUP($A140,trifin1,5,FALSE)=0,"",VLOOKUP($A140,trifin1,5,FALSE))</f>
        <v>58</v>
      </c>
      <c r="F140" s="165">
        <f>IF(VLOOKUP($A140,trifin1,6,FALSE)=0,"",VLOOKUP($A140,trifin1,6,FALSE))</f>
        <v>39</v>
      </c>
      <c r="G140" s="406">
        <f t="shared" si="5"/>
        <v>1.4871794871794872</v>
      </c>
      <c r="H140" s="406" t="str">
        <f>IF(E140=DISTANCE,G140,"-")</f>
        <v>-</v>
      </c>
      <c r="I140" s="165">
        <f>IF(VLOOKUP($A140,trifin1,7,FALSE)=0,"",VLOOKUP($A140,trifin1,7,FALSE))</f>
        <v>6</v>
      </c>
      <c r="J140" s="165">
        <f>VLOOKUP($A140,trifin1,8,FALSE)</f>
        <v>0</v>
      </c>
      <c r="K140" s="408">
        <f>IF(I140="","-",SUM(E138:E140)/SUM(F138:F140))</f>
        <v>2.0373831775700935</v>
      </c>
      <c r="M140">
        <v>4</v>
      </c>
    </row>
    <row r="141" spans="1:13" ht="24" customHeight="1" thickBot="1">
      <c r="A141" s="23" t="str">
        <f>C$131&amp;5</f>
        <v>65</v>
      </c>
      <c r="C141" s="167">
        <f>VLOOKUP($A141,trifin1,3,FALSE)</f>
        <v>14</v>
      </c>
      <c r="D141" s="168" t="str">
        <f>VLOOKUP($A141,trifin1,9,FALSE)</f>
        <v>CASIMIR</v>
      </c>
      <c r="E141" s="172">
        <f>IF(VLOOKUP($A141,trifin1,5,FALSE)=0,"",VLOOKUP($A141,trifin1,5,FALSE))</f>
        <v>80</v>
      </c>
      <c r="F141" s="172">
        <f>IF(VLOOKUP($A141,trifin1,6,FALSE)=0,"",VLOOKUP($A141,trifin1,6,FALSE))</f>
        <v>31</v>
      </c>
      <c r="G141" s="407">
        <f t="shared" si="5"/>
        <v>2.5806451612903225</v>
      </c>
      <c r="H141" s="407">
        <f>IF(E141=DISTANCE,G141,"-")</f>
        <v>2.5806451612903225</v>
      </c>
      <c r="I141" s="172">
        <f>IF(VLOOKUP($A141,trifin1,7,FALSE)=0,"",VLOOKUP($A141,trifin1,7,FALSE))</f>
        <v>10</v>
      </c>
      <c r="J141" s="169">
        <f>VLOOKUP($A141,trifin1,8,FALSE)</f>
        <v>2</v>
      </c>
      <c r="K141" s="409">
        <f>IF(I141="","-",SUM(E139:E141)/SUM(F139:F141))</f>
        <v>2.0961538461538463</v>
      </c>
      <c r="M141">
        <v>5</v>
      </c>
    </row>
    <row r="142" spans="3:11" ht="24" customHeight="1" thickBot="1">
      <c r="C142" s="170"/>
      <c r="D142" s="171" t="s">
        <v>83</v>
      </c>
      <c r="E142" s="172">
        <f>IF(E137="","",SUM(E137:E141))</f>
        <v>360</v>
      </c>
      <c r="F142" s="172">
        <f>IF(F137="","",SUM(F137:F141))</f>
        <v>171</v>
      </c>
      <c r="G142" s="407">
        <f t="shared" si="5"/>
        <v>2.1052631578947367</v>
      </c>
      <c r="H142" s="407">
        <f>IF(F142="","",MAX(H137:H141))</f>
        <v>2.5806451612903225</v>
      </c>
      <c r="I142" s="173">
        <f>IF(F142="","",MAX(I137:I141))</f>
        <v>15</v>
      </c>
      <c r="J142" s="174">
        <f>IF(F142="","",SUM(J137:J141))</f>
        <v>6</v>
      </c>
      <c r="K142" s="410">
        <f>IF(F142="","",MAX(K137:K141))</f>
        <v>2.198019801980198</v>
      </c>
    </row>
    <row r="144" spans="3:6" ht="15.75">
      <c r="C144" s="516" t="s">
        <v>84</v>
      </c>
      <c r="D144" s="516"/>
      <c r="E144" s="516"/>
      <c r="F144" s="117" t="str">
        <f>VLOOKUP($C133,clasfin2,9,FALSE)</f>
        <v>3ème</v>
      </c>
    </row>
    <row r="146" spans="3:8" ht="23.25">
      <c r="C146" s="119" t="str">
        <f>lieue</f>
        <v>BILLARD CLUB SAINT-GAUDENS</v>
      </c>
      <c r="D146" s="119"/>
      <c r="E146" s="119"/>
      <c r="F146" s="119"/>
      <c r="H146" s="118" t="str">
        <f>dat</f>
        <v>les 20 et 21/03/2010</v>
      </c>
    </row>
  </sheetData>
  <sheetProtection sheet="1" objects="1" scenarios="1"/>
  <mergeCells count="24">
    <mergeCell ref="B125:L125"/>
    <mergeCell ref="I132:J132"/>
    <mergeCell ref="I133:J133"/>
    <mergeCell ref="C144:E144"/>
    <mergeCell ref="B101:L101"/>
    <mergeCell ref="I108:J108"/>
    <mergeCell ref="I109:J109"/>
    <mergeCell ref="C120:E120"/>
    <mergeCell ref="B75:L75"/>
    <mergeCell ref="I82:J82"/>
    <mergeCell ref="I83:J83"/>
    <mergeCell ref="C94:E94"/>
    <mergeCell ref="B51:L51"/>
    <mergeCell ref="I58:J58"/>
    <mergeCell ref="I59:J59"/>
    <mergeCell ref="C70:E70"/>
    <mergeCell ref="B1:L1"/>
    <mergeCell ref="B25:L25"/>
    <mergeCell ref="I32:J32"/>
    <mergeCell ref="I33:J33"/>
    <mergeCell ref="C44:E44"/>
    <mergeCell ref="I8:J8"/>
    <mergeCell ref="I9:J9"/>
    <mergeCell ref="C20:E20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showGridLines="0" view="pageBreakPreview" zoomScale="80" zoomScaleNormal="80" zoomScaleSheetLayoutView="80" zoomScalePageLayoutView="0" workbookViewId="0" topLeftCell="A88">
      <selection activeCell="X95" sqref="X95"/>
    </sheetView>
  </sheetViews>
  <sheetFormatPr defaultColWidth="11.5546875" defaultRowHeight="15"/>
  <cols>
    <col min="1" max="5" width="4.88671875" style="0" customWidth="1"/>
    <col min="6" max="6" width="1.77734375" style="0" customWidth="1"/>
    <col min="7" max="11" width="4.88671875" style="0" customWidth="1"/>
    <col min="12" max="12" width="1.77734375" style="0" customWidth="1"/>
    <col min="13" max="17" width="4.88671875" style="0" customWidth="1"/>
    <col min="18" max="18" width="1.77734375" style="0" customWidth="1"/>
    <col min="19" max="23" width="4.88671875" style="0" customWidth="1"/>
    <col min="24" max="24" width="42.77734375" style="0" customWidth="1"/>
  </cols>
  <sheetData>
    <row r="1" spans="1:25" ht="20.25" customHeight="1">
      <c r="A1" s="247"/>
      <c r="B1" s="248"/>
      <c r="C1" s="611" t="s">
        <v>102</v>
      </c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Y1" t="str">
        <f>design2</f>
        <v>LIGUE</v>
      </c>
    </row>
    <row r="2" spans="1:23" ht="15">
      <c r="A2" s="247"/>
      <c r="B2" s="248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</row>
    <row r="3" spans="1:23" ht="30" customHeight="1">
      <c r="A3" s="249"/>
      <c r="B3" s="250"/>
      <c r="C3" s="609" t="s">
        <v>107</v>
      </c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</row>
    <row r="4" spans="1:23" ht="10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27.75">
      <c r="A5" s="610" t="s">
        <v>108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</row>
    <row r="6" spans="1:23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23" ht="23.25">
      <c r="A7" s="594">
        <f>IF(Y1="SOUS-DISTRICT","X",0)</f>
        <v>0</v>
      </c>
      <c r="B7" s="613" t="s">
        <v>109</v>
      </c>
      <c r="C7" s="613"/>
      <c r="D7" s="613"/>
      <c r="E7" s="614"/>
      <c r="F7" s="251"/>
      <c r="G7" s="594">
        <f>IF(Y1="DISTRICT","X",IF(Y1="DEMI-LIGUE","X",0))</f>
        <v>0</v>
      </c>
      <c r="H7" s="613" t="s">
        <v>110</v>
      </c>
      <c r="I7" s="613"/>
      <c r="J7" s="613"/>
      <c r="K7" s="614"/>
      <c r="L7" s="251"/>
      <c r="M7" s="594" t="s">
        <v>174</v>
      </c>
      <c r="N7" s="613" t="s">
        <v>111</v>
      </c>
      <c r="O7" s="613"/>
      <c r="P7" s="613"/>
      <c r="Q7" s="614"/>
      <c r="R7" s="251"/>
      <c r="S7" s="594" t="s">
        <v>207</v>
      </c>
      <c r="T7" s="613" t="s">
        <v>112</v>
      </c>
      <c r="U7" s="613"/>
      <c r="V7" s="613"/>
      <c r="W7" s="614"/>
    </row>
    <row r="8" spans="1:23" ht="15.75" customHeight="1">
      <c r="A8" s="595"/>
      <c r="B8" s="615"/>
      <c r="C8" s="615"/>
      <c r="D8" s="615"/>
      <c r="E8" s="616"/>
      <c r="F8" s="251"/>
      <c r="G8" s="595"/>
      <c r="H8" s="615"/>
      <c r="I8" s="615"/>
      <c r="J8" s="615"/>
      <c r="K8" s="616"/>
      <c r="L8" s="251"/>
      <c r="M8" s="595"/>
      <c r="N8" s="615"/>
      <c r="O8" s="615"/>
      <c r="P8" s="615"/>
      <c r="Q8" s="616"/>
      <c r="R8" s="251"/>
      <c r="S8" s="595"/>
      <c r="T8" s="615"/>
      <c r="U8" s="615"/>
      <c r="V8" s="615"/>
      <c r="W8" s="616"/>
    </row>
    <row r="9" spans="1:23" ht="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</row>
    <row r="10" spans="1:23" ht="15">
      <c r="A10" s="252" t="s">
        <v>113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</row>
    <row r="11" spans="1:23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</row>
    <row r="12" spans="1:23" ht="15.75">
      <c r="A12" s="247"/>
      <c r="B12" s="596" t="s">
        <v>106</v>
      </c>
      <c r="C12" s="596"/>
      <c r="D12" s="596"/>
      <c r="E12" s="596"/>
      <c r="F12" s="596"/>
      <c r="G12" s="596"/>
      <c r="H12" s="247"/>
      <c r="I12" s="247"/>
      <c r="J12" s="596" t="s">
        <v>114</v>
      </c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</row>
    <row r="13" spans="1:23" ht="15">
      <c r="A13" s="253"/>
      <c r="B13" s="597" t="s">
        <v>174</v>
      </c>
      <c r="C13" s="598"/>
      <c r="D13" s="598"/>
      <c r="E13" s="598"/>
      <c r="F13" s="598"/>
      <c r="G13" s="599"/>
      <c r="H13" s="253"/>
      <c r="I13" s="253"/>
      <c r="J13" s="575" t="s">
        <v>174</v>
      </c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7"/>
    </row>
    <row r="14" spans="1:23" ht="15">
      <c r="A14" s="253"/>
      <c r="B14" s="600"/>
      <c r="C14" s="601"/>
      <c r="D14" s="601"/>
      <c r="E14" s="601"/>
      <c r="F14" s="601"/>
      <c r="G14" s="602"/>
      <c r="H14" s="253"/>
      <c r="I14" s="253"/>
      <c r="J14" s="606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8"/>
    </row>
    <row r="15" spans="1:23" ht="15">
      <c r="A15" s="253"/>
      <c r="B15" s="603"/>
      <c r="C15" s="604"/>
      <c r="D15" s="604"/>
      <c r="E15" s="604"/>
      <c r="F15" s="604"/>
      <c r="G15" s="605"/>
      <c r="H15" s="253"/>
      <c r="I15" s="253"/>
      <c r="J15" s="585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7"/>
    </row>
    <row r="16" spans="1:23" ht="1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</row>
    <row r="17" spans="1:23" ht="15.75">
      <c r="A17" s="253"/>
      <c r="B17" s="596" t="s">
        <v>115</v>
      </c>
      <c r="C17" s="596"/>
      <c r="D17" s="596"/>
      <c r="E17" s="596"/>
      <c r="F17" s="596"/>
      <c r="G17" s="596"/>
      <c r="H17" s="253"/>
      <c r="I17" s="253"/>
      <c r="J17" s="596" t="s">
        <v>105</v>
      </c>
      <c r="K17" s="596"/>
      <c r="L17" s="596"/>
      <c r="M17" s="596"/>
      <c r="N17" s="596"/>
      <c r="O17" s="596"/>
      <c r="P17" s="253"/>
      <c r="Q17" s="253"/>
      <c r="R17" s="253"/>
      <c r="S17" s="596" t="s">
        <v>116</v>
      </c>
      <c r="T17" s="596"/>
      <c r="U17" s="596"/>
      <c r="V17" s="596"/>
      <c r="W17" s="596"/>
    </row>
    <row r="18" spans="1:23" ht="15">
      <c r="A18" s="253"/>
      <c r="B18" s="575" t="s">
        <v>179</v>
      </c>
      <c r="C18" s="576"/>
      <c r="D18" s="576"/>
      <c r="E18" s="576"/>
      <c r="F18" s="576"/>
      <c r="G18" s="577"/>
      <c r="H18" s="253"/>
      <c r="I18" s="253"/>
      <c r="J18" s="575" t="s">
        <v>177</v>
      </c>
      <c r="K18" s="576"/>
      <c r="L18" s="576"/>
      <c r="M18" s="576"/>
      <c r="N18" s="576"/>
      <c r="O18" s="577"/>
      <c r="P18" s="253"/>
      <c r="Q18" s="253"/>
      <c r="R18" s="253"/>
      <c r="S18" s="588" t="s">
        <v>174</v>
      </c>
      <c r="T18" s="589"/>
      <c r="U18" s="589"/>
      <c r="V18" s="589"/>
      <c r="W18" s="592" t="s">
        <v>7</v>
      </c>
    </row>
    <row r="19" spans="1:23" ht="15">
      <c r="A19" s="253"/>
      <c r="B19" s="585"/>
      <c r="C19" s="586"/>
      <c r="D19" s="586"/>
      <c r="E19" s="586"/>
      <c r="F19" s="586"/>
      <c r="G19" s="587"/>
      <c r="H19" s="253"/>
      <c r="I19" s="253"/>
      <c r="J19" s="585"/>
      <c r="K19" s="586"/>
      <c r="L19" s="586"/>
      <c r="M19" s="586"/>
      <c r="N19" s="586"/>
      <c r="O19" s="587"/>
      <c r="P19" s="253"/>
      <c r="Q19" s="253"/>
      <c r="R19" s="253"/>
      <c r="S19" s="590"/>
      <c r="T19" s="591"/>
      <c r="U19" s="591"/>
      <c r="V19" s="591"/>
      <c r="W19" s="593"/>
    </row>
    <row r="20" spans="1:23" ht="1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</row>
    <row r="21" spans="1:23" ht="15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5" t="s">
        <v>169</v>
      </c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23" ht="15.75">
      <c r="A22" s="254" t="s">
        <v>117</v>
      </c>
      <c r="B22" s="253"/>
      <c r="C22" s="253"/>
      <c r="D22" s="253"/>
      <c r="E22" s="253"/>
      <c r="F22" s="253"/>
      <c r="G22" s="253"/>
      <c r="H22" s="357">
        <f>IF(Y1="SOUS-DISTRICT",1,0)</f>
        <v>0</v>
      </c>
      <c r="I22" s="255" t="s">
        <v>118</v>
      </c>
      <c r="J22" s="255"/>
      <c r="K22" s="255"/>
      <c r="L22" s="255"/>
      <c r="M22" s="357">
        <f>IF(Y1="DISTRICT",1,IF(Y1="DEMI-LIGUE",1,0))</f>
        <v>0</v>
      </c>
      <c r="N22" s="255" t="s">
        <v>170</v>
      </c>
      <c r="O22" s="255"/>
      <c r="P22" s="253"/>
      <c r="Q22" s="357">
        <f>IF(Y1="LIGUE",1,0)</f>
        <v>1</v>
      </c>
      <c r="R22" s="255" t="s">
        <v>110</v>
      </c>
      <c r="S22" s="253"/>
      <c r="T22" s="255"/>
      <c r="U22" s="357">
        <f>IF(Y1="SECTEUR",1,0)</f>
        <v>0</v>
      </c>
      <c r="V22" s="255" t="s">
        <v>111</v>
      </c>
      <c r="W22" s="255"/>
    </row>
    <row r="23" spans="1:23" ht="1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</row>
    <row r="24" spans="1:23" ht="23.25">
      <c r="A24" s="256" t="s">
        <v>119</v>
      </c>
      <c r="B24" s="257"/>
      <c r="C24" s="257"/>
      <c r="D24" s="257"/>
      <c r="E24" s="257"/>
      <c r="F24" s="258"/>
      <c r="G24" s="574" t="str">
        <f>'FEUILLE POULE'!C37&amp;"       "&amp;'FEUILLE POULE'!B37</f>
        <v>Claude       GERARD</v>
      </c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8"/>
    </row>
    <row r="25" spans="1:23" ht="15.75">
      <c r="A25" s="259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</row>
    <row r="26" spans="1:23" ht="20.25">
      <c r="A26" s="260" t="s">
        <v>120</v>
      </c>
      <c r="B26" s="261"/>
      <c r="C26" s="261"/>
      <c r="D26" s="575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7"/>
    </row>
    <row r="27" spans="1:23" ht="15.75">
      <c r="A27" s="262"/>
      <c r="B27" s="263"/>
      <c r="C27" s="263"/>
      <c r="D27" s="264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56" t="s">
        <v>121</v>
      </c>
      <c r="R27" s="578"/>
      <c r="S27" s="578"/>
      <c r="T27" s="578"/>
      <c r="U27" s="578"/>
      <c r="V27" s="578"/>
      <c r="W27" s="579"/>
    </row>
    <row r="28" spans="1:23" ht="15.75">
      <c r="A28" s="265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</row>
    <row r="29" spans="1:23" ht="20.25">
      <c r="A29" s="262" t="s">
        <v>122</v>
      </c>
      <c r="B29" s="263"/>
      <c r="C29" s="263"/>
      <c r="D29" s="263"/>
      <c r="E29" s="263"/>
      <c r="F29" s="266"/>
      <c r="G29" s="583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70"/>
    </row>
    <row r="30" spans="1:23" ht="1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</row>
    <row r="31" spans="1:23" ht="23.25">
      <c r="A31" s="256" t="s">
        <v>123</v>
      </c>
      <c r="B31" s="257"/>
      <c r="C31" s="567" t="str">
        <f>'FEUILLE POULE'!F37</f>
        <v>St Gaudens</v>
      </c>
      <c r="D31" s="567"/>
      <c r="E31" s="567"/>
      <c r="F31" s="567"/>
      <c r="G31" s="567"/>
      <c r="H31" s="568"/>
      <c r="I31" s="256" t="s">
        <v>103</v>
      </c>
      <c r="J31" s="259"/>
      <c r="K31" s="259"/>
      <c r="L31" s="569" t="str">
        <f>'FEUILLE POULE'!E37</f>
        <v>111086-O</v>
      </c>
      <c r="M31" s="569"/>
      <c r="N31" s="569"/>
      <c r="O31" s="570"/>
      <c r="P31" s="256" t="s">
        <v>104</v>
      </c>
      <c r="Q31" s="268"/>
      <c r="R31" s="257"/>
      <c r="S31" s="258"/>
      <c r="T31" s="269"/>
      <c r="U31" s="571">
        <f>'FEUILLE POULE'!J37</f>
        <v>2.7777777777777777</v>
      </c>
      <c r="V31" s="571"/>
      <c r="W31" s="572"/>
    </row>
    <row r="32" spans="1:23" ht="15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</row>
    <row r="33" spans="1:23" ht="15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</row>
    <row r="34" spans="1:23" ht="15.75">
      <c r="A34" s="584" t="s">
        <v>124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</row>
    <row r="35" spans="1:23" ht="15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</row>
    <row r="36" spans="1:23" ht="23.25">
      <c r="A36" s="256" t="s">
        <v>119</v>
      </c>
      <c r="B36" s="257"/>
      <c r="C36" s="257"/>
      <c r="D36" s="257"/>
      <c r="E36" s="257"/>
      <c r="F36" s="258"/>
      <c r="G36" s="574" t="str">
        <f>'FEUILLE POULE'!C38&amp;"       "&amp;'FEUILLE POULE'!B38</f>
        <v>Daniel       LIS</v>
      </c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8"/>
    </row>
    <row r="37" spans="1:23" ht="15.75">
      <c r="A37" s="259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</row>
    <row r="38" spans="1:23" ht="20.25">
      <c r="A38" s="260" t="s">
        <v>120</v>
      </c>
      <c r="B38" s="261"/>
      <c r="C38" s="261"/>
      <c r="D38" s="575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7"/>
    </row>
    <row r="39" spans="1:23" ht="15.75">
      <c r="A39" s="262"/>
      <c r="B39" s="263"/>
      <c r="C39" s="263"/>
      <c r="D39" s="264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56" t="s">
        <v>121</v>
      </c>
      <c r="R39" s="578"/>
      <c r="S39" s="578"/>
      <c r="T39" s="578"/>
      <c r="U39" s="578"/>
      <c r="V39" s="578"/>
      <c r="W39" s="579"/>
    </row>
    <row r="40" spans="1:23" ht="15.75">
      <c r="A40" s="259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</row>
    <row r="41" spans="1:23" ht="20.25">
      <c r="A41" s="256" t="s">
        <v>122</v>
      </c>
      <c r="B41" s="257"/>
      <c r="C41" s="257"/>
      <c r="D41" s="257"/>
      <c r="E41" s="257"/>
      <c r="F41" s="258"/>
      <c r="G41" s="580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70"/>
    </row>
    <row r="42" spans="1:23" ht="1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</row>
    <row r="43" spans="1:23" ht="23.25">
      <c r="A43" s="256" t="s">
        <v>123</v>
      </c>
      <c r="B43" s="257"/>
      <c r="C43" s="567" t="str">
        <f>'FEUILLE POULE'!F38</f>
        <v>Tarbes</v>
      </c>
      <c r="D43" s="567"/>
      <c r="E43" s="567"/>
      <c r="F43" s="567"/>
      <c r="G43" s="567"/>
      <c r="H43" s="568"/>
      <c r="I43" s="256" t="s">
        <v>103</v>
      </c>
      <c r="J43" s="259"/>
      <c r="K43" s="259"/>
      <c r="L43" s="569" t="str">
        <f>'FEUILLE POULE'!E38</f>
        <v>022590-W</v>
      </c>
      <c r="M43" s="569"/>
      <c r="N43" s="569"/>
      <c r="O43" s="570"/>
      <c r="P43" s="256" t="s">
        <v>104</v>
      </c>
      <c r="Q43" s="268"/>
      <c r="R43" s="257"/>
      <c r="S43" s="258"/>
      <c r="T43" s="269"/>
      <c r="U43" s="571">
        <f>'FEUILLE POULE'!K38</f>
        <v>0</v>
      </c>
      <c r="V43" s="571"/>
      <c r="W43" s="572"/>
    </row>
    <row r="44" spans="1:23" ht="15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</row>
    <row r="45" spans="1:23" ht="1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</row>
    <row r="46" spans="1:23" ht="15.75">
      <c r="A46" s="271" t="s">
        <v>125</v>
      </c>
      <c r="B46" s="267"/>
      <c r="C46" s="267"/>
      <c r="D46" s="267"/>
      <c r="E46" s="267"/>
      <c r="F46" s="573" t="s">
        <v>126</v>
      </c>
      <c r="G46" s="573"/>
      <c r="H46" s="573"/>
      <c r="I46" s="573"/>
      <c r="J46" s="573"/>
      <c r="K46" s="573"/>
      <c r="L46" s="573"/>
      <c r="M46" s="573"/>
      <c r="N46" s="573"/>
      <c r="O46" s="271"/>
      <c r="P46" s="573" t="s">
        <v>127</v>
      </c>
      <c r="Q46" s="573"/>
      <c r="R46" s="573"/>
      <c r="S46" s="573"/>
      <c r="T46" s="573"/>
      <c r="U46" s="573"/>
      <c r="V46" s="573"/>
      <c r="W46" s="573"/>
    </row>
    <row r="47" spans="1:23" ht="15">
      <c r="A47" s="267"/>
      <c r="B47" s="267"/>
      <c r="C47" s="267"/>
      <c r="D47" s="267"/>
      <c r="E47" s="267"/>
      <c r="F47" s="272"/>
      <c r="G47" s="261"/>
      <c r="H47" s="261"/>
      <c r="I47" s="261"/>
      <c r="J47" s="261"/>
      <c r="K47" s="261"/>
      <c r="L47" s="261"/>
      <c r="M47" s="261"/>
      <c r="N47" s="273"/>
      <c r="O47" s="267"/>
      <c r="P47" s="272"/>
      <c r="Q47" s="261"/>
      <c r="R47" s="261"/>
      <c r="S47" s="261"/>
      <c r="T47" s="261"/>
      <c r="U47" s="261"/>
      <c r="V47" s="261"/>
      <c r="W47" s="273"/>
    </row>
    <row r="48" spans="1:23" ht="15">
      <c r="A48" s="267"/>
      <c r="B48" s="267"/>
      <c r="C48" s="267"/>
      <c r="D48" s="267"/>
      <c r="E48" s="267"/>
      <c r="F48" s="274"/>
      <c r="G48" s="275"/>
      <c r="H48" s="275"/>
      <c r="I48" s="275"/>
      <c r="J48" s="275"/>
      <c r="K48" s="275"/>
      <c r="L48" s="275"/>
      <c r="M48" s="275"/>
      <c r="N48" s="276"/>
      <c r="O48" s="267"/>
      <c r="P48" s="274"/>
      <c r="Q48" s="275"/>
      <c r="R48" s="275"/>
      <c r="S48" s="275"/>
      <c r="T48" s="275"/>
      <c r="U48" s="275"/>
      <c r="V48" s="275"/>
      <c r="W48" s="276"/>
    </row>
    <row r="49" spans="1:23" ht="15">
      <c r="A49" s="267"/>
      <c r="B49" s="267"/>
      <c r="C49" s="267"/>
      <c r="D49" s="267"/>
      <c r="E49" s="267"/>
      <c r="F49" s="274"/>
      <c r="G49" s="275"/>
      <c r="H49" s="275"/>
      <c r="I49" s="275"/>
      <c r="J49" s="275"/>
      <c r="K49" s="275"/>
      <c r="L49" s="275"/>
      <c r="M49" s="275"/>
      <c r="N49" s="276"/>
      <c r="O49" s="267"/>
      <c r="P49" s="274"/>
      <c r="Q49" s="275"/>
      <c r="R49" s="275"/>
      <c r="S49" s="275"/>
      <c r="T49" s="275"/>
      <c r="U49" s="275"/>
      <c r="V49" s="275"/>
      <c r="W49" s="276"/>
    </row>
    <row r="50" spans="1:23" ht="15">
      <c r="A50" s="267"/>
      <c r="B50" s="267"/>
      <c r="C50" s="267"/>
      <c r="D50" s="267"/>
      <c r="E50" s="267"/>
      <c r="F50" s="274"/>
      <c r="G50" s="275"/>
      <c r="H50" s="275"/>
      <c r="I50" s="275"/>
      <c r="J50" s="275"/>
      <c r="K50" s="275"/>
      <c r="L50" s="275"/>
      <c r="M50" s="275"/>
      <c r="N50" s="276"/>
      <c r="O50" s="267"/>
      <c r="P50" s="274"/>
      <c r="Q50" s="275"/>
      <c r="R50" s="275"/>
      <c r="S50" s="275"/>
      <c r="T50" s="275"/>
      <c r="U50" s="275"/>
      <c r="V50" s="275"/>
      <c r="W50" s="276"/>
    </row>
    <row r="51" spans="1:23" ht="15">
      <c r="A51" s="267"/>
      <c r="B51" s="267"/>
      <c r="C51" s="267"/>
      <c r="D51" s="267"/>
      <c r="E51" s="267"/>
      <c r="F51" s="264"/>
      <c r="G51" s="263"/>
      <c r="H51" s="263"/>
      <c r="I51" s="263"/>
      <c r="J51" s="263"/>
      <c r="K51" s="263"/>
      <c r="L51" s="263"/>
      <c r="M51" s="263"/>
      <c r="N51" s="266"/>
      <c r="O51" s="267"/>
      <c r="P51" s="264"/>
      <c r="Q51" s="263"/>
      <c r="R51" s="263"/>
      <c r="S51" s="263"/>
      <c r="T51" s="263"/>
      <c r="U51" s="263"/>
      <c r="V51" s="263"/>
      <c r="W51" s="266"/>
    </row>
    <row r="52" spans="1:23" ht="1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</row>
    <row r="53" spans="1:23" ht="15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</row>
    <row r="54" spans="1:23" ht="1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</row>
    <row r="55" spans="1:23" ht="18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77" t="s">
        <v>128</v>
      </c>
      <c r="L55" s="581" t="s">
        <v>208</v>
      </c>
      <c r="M55" s="581"/>
      <c r="N55" s="581"/>
      <c r="O55" s="581"/>
      <c r="P55" s="581"/>
      <c r="Q55" s="581"/>
      <c r="R55" s="581"/>
      <c r="S55" s="277" t="s">
        <v>129</v>
      </c>
      <c r="T55" s="582">
        <v>40258</v>
      </c>
      <c r="U55" s="582"/>
      <c r="V55" s="582"/>
      <c r="W55" s="582"/>
    </row>
    <row r="56" spans="1:23" ht="1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</row>
    <row r="57" spans="1:23" ht="1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566" t="s">
        <v>130</v>
      </c>
      <c r="O57" s="566"/>
      <c r="P57" s="566"/>
      <c r="Q57" s="566"/>
      <c r="R57" s="566"/>
      <c r="S57" s="566"/>
      <c r="T57" s="566"/>
      <c r="U57" s="566"/>
      <c r="V57" s="267"/>
      <c r="W57" s="267"/>
    </row>
    <row r="58" spans="1:23" ht="15.7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0" t="str">
        <f>dirjeu</f>
        <v>Robert GALABERT</v>
      </c>
      <c r="O58" s="261"/>
      <c r="P58" s="261"/>
      <c r="Q58" s="261"/>
      <c r="R58" s="261"/>
      <c r="S58" s="261"/>
      <c r="T58" s="261"/>
      <c r="U58" s="273"/>
      <c r="V58" s="267"/>
      <c r="W58" s="267"/>
    </row>
    <row r="59" spans="1:23" ht="1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358"/>
      <c r="O59" s="275"/>
      <c r="P59" s="275"/>
      <c r="Q59" s="275"/>
      <c r="R59" s="275"/>
      <c r="S59" s="275"/>
      <c r="T59" s="275"/>
      <c r="U59" s="276"/>
      <c r="V59" s="267"/>
      <c r="W59" s="267"/>
    </row>
    <row r="60" spans="1:23" ht="1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74"/>
      <c r="O60" s="275"/>
      <c r="P60" s="275"/>
      <c r="Q60" s="275"/>
      <c r="R60" s="275"/>
      <c r="S60" s="275"/>
      <c r="T60" s="275"/>
      <c r="U60" s="276"/>
      <c r="V60" s="267"/>
      <c r="W60" s="267"/>
    </row>
    <row r="61" spans="1:23" ht="15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4"/>
      <c r="O61" s="263"/>
      <c r="P61" s="263"/>
      <c r="Q61" s="263"/>
      <c r="R61" s="263"/>
      <c r="S61" s="263"/>
      <c r="T61" s="263"/>
      <c r="U61" s="266"/>
      <c r="V61" s="267"/>
      <c r="W61" s="267"/>
    </row>
    <row r="62" spans="1:23" ht="1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</row>
    <row r="63" spans="1:23" ht="15">
      <c r="A63" s="267" t="s">
        <v>131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7"/>
      <c r="P63" s="278" t="s">
        <v>132</v>
      </c>
      <c r="Q63" s="279" t="s">
        <v>133</v>
      </c>
      <c r="R63" s="248"/>
      <c r="S63" s="247"/>
      <c r="T63" s="247"/>
      <c r="U63" s="279" t="s">
        <v>134</v>
      </c>
      <c r="V63" s="248"/>
      <c r="W63" s="248"/>
    </row>
    <row r="67" spans="1:22" ht="21" thickBot="1">
      <c r="A67" s="283"/>
      <c r="B67" s="284"/>
      <c r="C67" s="285"/>
      <c r="D67" s="286" t="s">
        <v>135</v>
      </c>
      <c r="E67" s="286"/>
      <c r="F67" s="287"/>
      <c r="G67" s="287"/>
      <c r="H67" s="287"/>
      <c r="N67" s="287" t="s">
        <v>136</v>
      </c>
      <c r="P67" s="287"/>
      <c r="Q67" s="287"/>
      <c r="R67" s="287"/>
      <c r="V67" s="287" t="s">
        <v>137</v>
      </c>
    </row>
    <row r="68" spans="1:23" ht="35.25">
      <c r="A68" s="283"/>
      <c r="B68" s="284"/>
      <c r="C68" s="285"/>
      <c r="D68" s="543" t="s">
        <v>102</v>
      </c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5"/>
    </row>
    <row r="69" spans="1:23" ht="32.25" customHeight="1">
      <c r="A69" s="283"/>
      <c r="B69" s="284"/>
      <c r="C69" s="288"/>
      <c r="D69" s="546" t="s">
        <v>138</v>
      </c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8"/>
    </row>
    <row r="70" spans="1:23" ht="13.5" customHeight="1" thickBot="1">
      <c r="A70" s="283"/>
      <c r="B70" s="284"/>
      <c r="C70" s="288"/>
      <c r="D70" s="549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551"/>
    </row>
    <row r="71" spans="1:13" ht="11.25" customHeight="1">
      <c r="A71" s="283"/>
      <c r="B71" s="284"/>
      <c r="C71" s="284"/>
      <c r="D71" s="284"/>
      <c r="E71" s="284"/>
      <c r="F71" s="284"/>
      <c r="G71" s="23"/>
      <c r="H71" s="289"/>
      <c r="I71" s="289"/>
      <c r="J71" s="247"/>
      <c r="K71" s="247"/>
      <c r="L71" s="290"/>
      <c r="M71" s="290"/>
    </row>
    <row r="72" spans="1:16" ht="25.5">
      <c r="A72" s="289"/>
      <c r="B72" s="289"/>
      <c r="C72" s="289"/>
      <c r="D72" s="289"/>
      <c r="E72" s="289"/>
      <c r="F72" s="289"/>
      <c r="G72" s="289"/>
      <c r="H72" s="289"/>
      <c r="I72" s="289"/>
      <c r="K72" s="290"/>
      <c r="L72" s="290"/>
      <c r="M72" s="290"/>
      <c r="P72" s="291" t="s">
        <v>139</v>
      </c>
    </row>
    <row r="73" spans="1:23" ht="12" customHeight="1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302"/>
      <c r="O73" s="302"/>
      <c r="P73" s="302"/>
      <c r="Q73" s="302"/>
      <c r="R73" s="302"/>
      <c r="S73" s="302"/>
      <c r="T73" s="302"/>
      <c r="U73" s="302"/>
      <c r="V73" s="302"/>
      <c r="W73" s="302"/>
    </row>
    <row r="74" spans="2:13" ht="25.5"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</row>
    <row r="75" spans="1:13" ht="26.25">
      <c r="A75" s="294" t="s">
        <v>140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</row>
    <row r="76" spans="1:13" ht="26.25">
      <c r="A76" s="295" t="s">
        <v>141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</row>
    <row r="77" spans="1:13" ht="25.5">
      <c r="A77" s="29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</row>
    <row r="78" spans="1:13" ht="26.25">
      <c r="A78" s="293"/>
      <c r="B78" s="294" t="s">
        <v>159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3"/>
    </row>
    <row r="79" spans="1:13" ht="25.5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</row>
    <row r="80" spans="1:21" ht="54" customHeight="1">
      <c r="A80" s="552" t="s">
        <v>142</v>
      </c>
      <c r="B80" s="553"/>
      <c r="C80" s="553"/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3"/>
      <c r="P80" s="553"/>
      <c r="Q80" s="553"/>
      <c r="R80" s="553"/>
      <c r="S80" s="553"/>
      <c r="T80" s="553"/>
      <c r="U80" s="553"/>
    </row>
    <row r="81" spans="1:23" ht="33.75">
      <c r="A81" s="305" t="s">
        <v>143</v>
      </c>
      <c r="B81" s="305"/>
      <c r="C81" s="309"/>
      <c r="D81" s="309"/>
      <c r="E81" s="309"/>
      <c r="F81" s="308"/>
      <c r="G81" s="521" t="s">
        <v>179</v>
      </c>
      <c r="H81" s="522"/>
      <c r="I81" s="522"/>
      <c r="J81" s="522"/>
      <c r="K81" s="522"/>
      <c r="L81" s="523"/>
      <c r="M81" s="524" t="s">
        <v>105</v>
      </c>
      <c r="N81" s="525"/>
      <c r="O81" s="525"/>
      <c r="P81" s="526"/>
      <c r="Q81" s="527" t="str">
        <f>design1</f>
        <v>NATIONALE 2</v>
      </c>
      <c r="R81" s="528"/>
      <c r="S81" s="528"/>
      <c r="T81" s="528"/>
      <c r="U81" s="528"/>
      <c r="V81" s="528"/>
      <c r="W81" s="529"/>
    </row>
    <row r="82" spans="1:23" ht="33.75">
      <c r="A82" s="305" t="s">
        <v>144</v>
      </c>
      <c r="B82" s="305"/>
      <c r="C82" s="306"/>
      <c r="D82" s="307"/>
      <c r="E82" s="307"/>
      <c r="F82" s="308"/>
      <c r="G82" s="521" t="s">
        <v>209</v>
      </c>
      <c r="H82" s="522"/>
      <c r="I82" s="522"/>
      <c r="J82" s="522"/>
      <c r="K82" s="522"/>
      <c r="L82" s="523"/>
      <c r="M82" s="312" t="s">
        <v>106</v>
      </c>
      <c r="N82" s="309"/>
      <c r="O82" s="309"/>
      <c r="P82" s="310"/>
      <c r="Q82" s="311"/>
      <c r="R82" s="309"/>
      <c r="S82" s="309"/>
      <c r="T82" s="313" t="str">
        <f>dat</f>
        <v>les 20 et 21/03/2010</v>
      </c>
      <c r="U82" s="307"/>
      <c r="V82" s="309"/>
      <c r="W82" s="310"/>
    </row>
    <row r="83" spans="1:13" ht="25.5">
      <c r="A83" s="293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</row>
    <row r="84" spans="1:13" ht="26.25" thickBot="1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</row>
    <row r="85" spans="1:23" ht="12" customHeight="1">
      <c r="A85" s="560" t="s">
        <v>145</v>
      </c>
      <c r="B85" s="554" t="s">
        <v>146</v>
      </c>
      <c r="C85" s="555"/>
      <c r="D85" s="555"/>
      <c r="E85" s="555"/>
      <c r="F85" s="555"/>
      <c r="G85" s="555"/>
      <c r="H85" s="318"/>
      <c r="I85" s="319"/>
      <c r="J85" s="320"/>
      <c r="K85" s="538" t="s">
        <v>148</v>
      </c>
      <c r="L85" s="539"/>
      <c r="M85" s="538"/>
      <c r="N85" s="539"/>
      <c r="O85" s="538"/>
      <c r="P85" s="539"/>
      <c r="Q85" s="538"/>
      <c r="R85" s="562"/>
      <c r="S85" s="539"/>
      <c r="T85" s="538"/>
      <c r="U85" s="539"/>
      <c r="V85" s="538"/>
      <c r="W85" s="564"/>
    </row>
    <row r="86" spans="1:23" ht="17.25" customHeight="1">
      <c r="A86" s="561"/>
      <c r="B86" s="556"/>
      <c r="C86" s="557"/>
      <c r="D86" s="557"/>
      <c r="E86" s="557"/>
      <c r="F86" s="557"/>
      <c r="G86" s="557"/>
      <c r="H86" s="540" t="s">
        <v>147</v>
      </c>
      <c r="I86" s="541"/>
      <c r="J86" s="542"/>
      <c r="K86" s="558" t="s">
        <v>149</v>
      </c>
      <c r="L86" s="559"/>
      <c r="M86" s="558" t="s">
        <v>148</v>
      </c>
      <c r="N86" s="559"/>
      <c r="O86" s="316" t="s">
        <v>150</v>
      </c>
      <c r="P86" s="321"/>
      <c r="Q86" s="558" t="s">
        <v>151</v>
      </c>
      <c r="R86" s="563"/>
      <c r="S86" s="559"/>
      <c r="T86" s="558" t="s">
        <v>152</v>
      </c>
      <c r="U86" s="559"/>
      <c r="V86" s="558" t="s">
        <v>153</v>
      </c>
      <c r="W86" s="565"/>
    </row>
    <row r="87" spans="1:23" ht="12.75" customHeight="1" thickBot="1">
      <c r="A87" s="561"/>
      <c r="B87" s="556"/>
      <c r="C87" s="557"/>
      <c r="D87" s="557"/>
      <c r="E87" s="557"/>
      <c r="F87" s="557"/>
      <c r="G87" s="557"/>
      <c r="H87" s="317"/>
      <c r="I87" s="23"/>
      <c r="J87" s="322"/>
      <c r="K87" s="558" t="s">
        <v>154</v>
      </c>
      <c r="L87" s="559"/>
      <c r="M87" s="558"/>
      <c r="N87" s="559"/>
      <c r="O87" s="558"/>
      <c r="P87" s="559"/>
      <c r="Q87" s="558"/>
      <c r="R87" s="563"/>
      <c r="S87" s="559"/>
      <c r="T87" s="558"/>
      <c r="U87" s="559"/>
      <c r="V87" s="558"/>
      <c r="W87" s="565"/>
    </row>
    <row r="88" spans="1:23" ht="27" thickBot="1">
      <c r="A88" s="315">
        <v>1</v>
      </c>
      <c r="B88" s="323" t="str">
        <f>'FEUILLE POULE'!B37&amp;"  "&amp;'FEUILLE POULE'!C37</f>
        <v>GERARD  Claude</v>
      </c>
      <c r="C88" s="324"/>
      <c r="D88" s="324"/>
      <c r="E88" s="325"/>
      <c r="F88" s="326"/>
      <c r="G88" s="327"/>
      <c r="H88" s="535" t="str">
        <f>'FEUILLE POULE'!E37</f>
        <v>111086-O</v>
      </c>
      <c r="I88" s="536"/>
      <c r="J88" s="537"/>
      <c r="K88" s="530">
        <f>'FEUILLE POULE'!O37</f>
        <v>10</v>
      </c>
      <c r="L88" s="531"/>
      <c r="M88" s="530">
        <f>'FEUILLE POULE'!H37</f>
        <v>400</v>
      </c>
      <c r="N88" s="531"/>
      <c r="O88" s="530">
        <f>'FEUILLE POULE'!I37</f>
        <v>144</v>
      </c>
      <c r="P88" s="531"/>
      <c r="Q88" s="532">
        <f>'FEUILLE POULE'!J37</f>
        <v>2.7777777777777777</v>
      </c>
      <c r="R88" s="533"/>
      <c r="S88" s="534"/>
      <c r="T88" s="517">
        <f>'FEUILLE POULE'!L37</f>
        <v>4.2105263157894735</v>
      </c>
      <c r="U88" s="518"/>
      <c r="V88" s="519">
        <f>+'FEUILLE POULE'!N37</f>
        <v>20</v>
      </c>
      <c r="W88" s="520"/>
    </row>
    <row r="89" spans="1:23" ht="27" thickBot="1">
      <c r="A89" s="315">
        <v>2</v>
      </c>
      <c r="B89" s="323" t="str">
        <f>'FEUILLE POULE'!B38&amp;"  "&amp;'FEUILLE POULE'!C38</f>
        <v>LIS  Daniel</v>
      </c>
      <c r="C89" s="324"/>
      <c r="D89" s="324"/>
      <c r="E89" s="325"/>
      <c r="F89" s="326"/>
      <c r="G89" s="327"/>
      <c r="H89" s="535" t="str">
        <f>'FEUILLE POULE'!E38</f>
        <v>022590-W</v>
      </c>
      <c r="I89" s="536"/>
      <c r="J89" s="537"/>
      <c r="K89" s="530">
        <f>'FEUILLE POULE'!O38</f>
        <v>8</v>
      </c>
      <c r="L89" s="531"/>
      <c r="M89" s="530">
        <f>'FEUILLE POULE'!H38</f>
        <v>373</v>
      </c>
      <c r="N89" s="531"/>
      <c r="O89" s="530">
        <f>'FEUILLE POULE'!I38</f>
        <v>188</v>
      </c>
      <c r="P89" s="531"/>
      <c r="Q89" s="532">
        <f>'FEUILLE POULE'!K38</f>
        <v>0</v>
      </c>
      <c r="R89" s="533"/>
      <c r="S89" s="534"/>
      <c r="T89" s="517">
        <f>'FEUILLE POULE'!L38</f>
        <v>2.1052631578947367</v>
      </c>
      <c r="U89" s="518"/>
      <c r="V89" s="519">
        <f>+'FEUILLE POULE'!N38</f>
        <v>11</v>
      </c>
      <c r="W89" s="520"/>
    </row>
    <row r="90" spans="1:23" ht="27" thickBot="1">
      <c r="A90" s="315">
        <v>3</v>
      </c>
      <c r="B90" s="323" t="str">
        <f>'FEUILLE POULE'!B39&amp;"  "&amp;'FEUILLE POULE'!C39</f>
        <v>REMY  Robert</v>
      </c>
      <c r="C90" s="324"/>
      <c r="D90" s="324"/>
      <c r="E90" s="325"/>
      <c r="F90" s="326"/>
      <c r="G90" s="327"/>
      <c r="H90" s="535" t="str">
        <f>'FEUILLE POULE'!E39</f>
        <v>022499-J</v>
      </c>
      <c r="I90" s="536"/>
      <c r="J90" s="537"/>
      <c r="K90" s="530">
        <f>'FEUILLE POULE'!O39</f>
        <v>6</v>
      </c>
      <c r="L90" s="531"/>
      <c r="M90" s="530">
        <f>'FEUILLE POULE'!H39</f>
        <v>360</v>
      </c>
      <c r="N90" s="531"/>
      <c r="O90" s="530">
        <f>'FEUILLE POULE'!I39</f>
        <v>171</v>
      </c>
      <c r="P90" s="531"/>
      <c r="Q90" s="532">
        <f>'FEUILLE POULE'!K39</f>
        <v>0</v>
      </c>
      <c r="R90" s="533"/>
      <c r="S90" s="534"/>
      <c r="T90" s="517">
        <f>'FEUILLE POULE'!L39</f>
        <v>2.5806451612903225</v>
      </c>
      <c r="U90" s="518"/>
      <c r="V90" s="519">
        <f>+'FEUILLE POULE'!N39</f>
        <v>15</v>
      </c>
      <c r="W90" s="520"/>
    </row>
    <row r="91" spans="1:23" ht="27" thickBot="1">
      <c r="A91" s="315">
        <v>4</v>
      </c>
      <c r="B91" s="323" t="str">
        <f>'FEUILLE POULE'!B40&amp;"  "&amp;'FEUILLE POULE'!C40</f>
        <v>GARDAIS  Jean  </v>
      </c>
      <c r="C91" s="324"/>
      <c r="D91" s="324"/>
      <c r="E91" s="325"/>
      <c r="F91" s="326"/>
      <c r="G91" s="327"/>
      <c r="H91" s="535" t="str">
        <f>'FEUILLE POULE'!E40</f>
        <v>110833-V</v>
      </c>
      <c r="I91" s="536"/>
      <c r="J91" s="537"/>
      <c r="K91" s="530">
        <f>'FEUILLE POULE'!O40</f>
        <v>2</v>
      </c>
      <c r="L91" s="531"/>
      <c r="M91" s="530">
        <f>'FEUILLE POULE'!H40</f>
        <v>292</v>
      </c>
      <c r="N91" s="531"/>
      <c r="O91" s="530">
        <f>'FEUILLE POULE'!I40</f>
        <v>171</v>
      </c>
      <c r="P91" s="531"/>
      <c r="Q91" s="532">
        <f>'FEUILLE POULE'!K40</f>
        <v>0</v>
      </c>
      <c r="R91" s="533"/>
      <c r="S91" s="534"/>
      <c r="T91" s="517">
        <f>'FEUILLE POULE'!L40</f>
        <v>2.051282051282051</v>
      </c>
      <c r="U91" s="518"/>
      <c r="V91" s="519">
        <f>+'FEUILLE POULE'!N40</f>
        <v>11</v>
      </c>
      <c r="W91" s="520"/>
    </row>
    <row r="92" spans="1:23" ht="27" thickBot="1">
      <c r="A92" s="315">
        <v>5</v>
      </c>
      <c r="B92" s="323" t="str">
        <f>'FEUILLE POULE'!B41&amp;"  "&amp;'FEUILLE POULE'!C41</f>
        <v>CASIMIR  Christan</v>
      </c>
      <c r="C92" s="324"/>
      <c r="D92" s="324"/>
      <c r="E92" s="325"/>
      <c r="F92" s="326"/>
      <c r="G92" s="327"/>
      <c r="H92" s="535" t="str">
        <f>'FEUILLE POULE'!E41</f>
        <v>022648-C</v>
      </c>
      <c r="I92" s="536"/>
      <c r="J92" s="537"/>
      <c r="K92" s="530">
        <f>'FEUILLE POULE'!O41</f>
        <v>2</v>
      </c>
      <c r="L92" s="531"/>
      <c r="M92" s="530">
        <f>'FEUILLE POULE'!H41</f>
        <v>312</v>
      </c>
      <c r="N92" s="531"/>
      <c r="O92" s="530">
        <f>'FEUILLE POULE'!I41</f>
        <v>197</v>
      </c>
      <c r="P92" s="531"/>
      <c r="Q92" s="532">
        <f>'FEUILLE POULE'!K41</f>
        <v>0</v>
      </c>
      <c r="R92" s="533"/>
      <c r="S92" s="534"/>
      <c r="T92" s="517">
        <f>'FEUILLE POULE'!L41</f>
        <v>2.1052631578947367</v>
      </c>
      <c r="U92" s="518"/>
      <c r="V92" s="519">
        <f>+'FEUILLE POULE'!N41</f>
        <v>12</v>
      </c>
      <c r="W92" s="520"/>
    </row>
    <row r="93" spans="1:23" ht="27" thickBot="1">
      <c r="A93" s="315">
        <v>6</v>
      </c>
      <c r="B93" s="323" t="str">
        <f>'FEUILLE POULE'!B42&amp;"  "&amp;'FEUILLE POULE'!C42</f>
        <v>DUFFAUD  Jean-Philippe</v>
      </c>
      <c r="C93" s="324"/>
      <c r="D93" s="324"/>
      <c r="E93" s="325"/>
      <c r="F93" s="326"/>
      <c r="G93" s="327"/>
      <c r="H93" s="535" t="str">
        <f>'FEUILLE POULE'!E42</f>
        <v>022847-W</v>
      </c>
      <c r="I93" s="536"/>
      <c r="J93" s="537"/>
      <c r="K93" s="530">
        <f>'FEUILLE POULE'!O42</f>
        <v>2</v>
      </c>
      <c r="L93" s="531"/>
      <c r="M93" s="530">
        <f>'FEUILLE POULE'!H42</f>
        <v>299</v>
      </c>
      <c r="N93" s="531"/>
      <c r="O93" s="530">
        <f>'FEUILLE POULE'!I42</f>
        <v>191</v>
      </c>
      <c r="P93" s="531"/>
      <c r="Q93" s="532">
        <f>'FEUILLE POULE'!K42</f>
        <v>0</v>
      </c>
      <c r="R93" s="533"/>
      <c r="S93" s="534"/>
      <c r="T93" s="517">
        <f>'FEUILLE POULE'!L42</f>
        <v>1.6666666666666667</v>
      </c>
      <c r="U93" s="518"/>
      <c r="V93" s="519">
        <f>+'FEUILLE POULE'!N42</f>
        <v>8</v>
      </c>
      <c r="W93" s="520"/>
    </row>
    <row r="95" spans="1:15" ht="25.5">
      <c r="A95" s="314" t="s">
        <v>155</v>
      </c>
      <c r="B95" s="296"/>
      <c r="C95" s="296"/>
      <c r="D95" s="296"/>
      <c r="E95" s="413" t="s">
        <v>210</v>
      </c>
      <c r="F95" s="296"/>
      <c r="G95" s="296"/>
      <c r="H95" s="296"/>
      <c r="I95" s="296"/>
      <c r="J95" s="296"/>
      <c r="K95" s="296"/>
      <c r="L95" s="296"/>
      <c r="M95" s="297" t="s">
        <v>174</v>
      </c>
      <c r="O95" s="414" t="s">
        <v>174</v>
      </c>
    </row>
    <row r="96" spans="1:13" ht="26.25">
      <c r="A96" s="415" t="s">
        <v>211</v>
      </c>
      <c r="B96" s="29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99"/>
    </row>
    <row r="97" spans="1:13" ht="26.25">
      <c r="A97" s="415" t="s">
        <v>212</v>
      </c>
      <c r="B97" s="30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99"/>
    </row>
    <row r="98" spans="1:13" ht="25.5">
      <c r="A98" s="301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3"/>
    </row>
    <row r="99" spans="1:13" ht="25.5">
      <c r="A99" s="293"/>
      <c r="M99" s="293"/>
    </row>
    <row r="101" spans="1:16" ht="25.5">
      <c r="A101" s="293" t="s">
        <v>156</v>
      </c>
      <c r="C101" s="293"/>
      <c r="D101" s="293"/>
      <c r="E101" s="293"/>
      <c r="F101" s="293"/>
      <c r="G101" s="293"/>
      <c r="H101" s="293"/>
      <c r="I101" s="293"/>
      <c r="K101" s="293"/>
      <c r="L101" s="293"/>
      <c r="P101" s="304" t="s">
        <v>157</v>
      </c>
    </row>
    <row r="102" spans="2:12" ht="26.25">
      <c r="B102" s="293"/>
      <c r="C102" s="294" t="str">
        <f>dirjeu</f>
        <v>Robert GALABERT</v>
      </c>
      <c r="D102" s="293"/>
      <c r="E102" s="293"/>
      <c r="F102" s="293"/>
      <c r="G102" s="293"/>
      <c r="H102" s="293"/>
      <c r="I102" s="293"/>
      <c r="J102" s="293"/>
      <c r="K102" s="293"/>
      <c r="L102" s="293"/>
    </row>
    <row r="103" spans="2:12" ht="25.5"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</row>
    <row r="104" spans="2:12" ht="26.25">
      <c r="B104" s="293" t="s">
        <v>158</v>
      </c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</row>
  </sheetData>
  <sheetProtection/>
  <mergeCells count="112">
    <mergeCell ref="C3:W3"/>
    <mergeCell ref="A5:W5"/>
    <mergeCell ref="C1:W2"/>
    <mergeCell ref="B7:E8"/>
    <mergeCell ref="H7:K8"/>
    <mergeCell ref="N7:Q8"/>
    <mergeCell ref="T7:W8"/>
    <mergeCell ref="A7:A8"/>
    <mergeCell ref="G7:G8"/>
    <mergeCell ref="M7:M8"/>
    <mergeCell ref="S7:S8"/>
    <mergeCell ref="B17:G17"/>
    <mergeCell ref="J17:O17"/>
    <mergeCell ref="S17:W17"/>
    <mergeCell ref="B12:G12"/>
    <mergeCell ref="J12:W12"/>
    <mergeCell ref="B13:G15"/>
    <mergeCell ref="J13:W15"/>
    <mergeCell ref="B18:G19"/>
    <mergeCell ref="J18:O19"/>
    <mergeCell ref="S18:V19"/>
    <mergeCell ref="W18:W19"/>
    <mergeCell ref="G24:W24"/>
    <mergeCell ref="D26:W26"/>
    <mergeCell ref="R27:W27"/>
    <mergeCell ref="G29:W29"/>
    <mergeCell ref="C31:H31"/>
    <mergeCell ref="L31:O31"/>
    <mergeCell ref="U31:W31"/>
    <mergeCell ref="A34:W34"/>
    <mergeCell ref="G36:W36"/>
    <mergeCell ref="D38:W38"/>
    <mergeCell ref="R39:W39"/>
    <mergeCell ref="G41:W41"/>
    <mergeCell ref="L55:R55"/>
    <mergeCell ref="T55:W55"/>
    <mergeCell ref="N57:U57"/>
    <mergeCell ref="C43:H43"/>
    <mergeCell ref="L43:O43"/>
    <mergeCell ref="U43:W43"/>
    <mergeCell ref="F46:N46"/>
    <mergeCell ref="P46:W46"/>
    <mergeCell ref="T88:U88"/>
    <mergeCell ref="V88:W88"/>
    <mergeCell ref="K87:L87"/>
    <mergeCell ref="T85:U85"/>
    <mergeCell ref="T86:U86"/>
    <mergeCell ref="T87:U87"/>
    <mergeCell ref="V85:W85"/>
    <mergeCell ref="V86:W86"/>
    <mergeCell ref="V87:W87"/>
    <mergeCell ref="O87:P87"/>
    <mergeCell ref="K86:L86"/>
    <mergeCell ref="A85:A87"/>
    <mergeCell ref="Q88:S88"/>
    <mergeCell ref="Q85:S85"/>
    <mergeCell ref="Q86:S86"/>
    <mergeCell ref="Q87:S87"/>
    <mergeCell ref="M85:N85"/>
    <mergeCell ref="M86:N86"/>
    <mergeCell ref="M87:N87"/>
    <mergeCell ref="H86:J86"/>
    <mergeCell ref="H88:J88"/>
    <mergeCell ref="D68:W68"/>
    <mergeCell ref="D69:W69"/>
    <mergeCell ref="D70:W70"/>
    <mergeCell ref="A80:U80"/>
    <mergeCell ref="B85:G87"/>
    <mergeCell ref="K88:L88"/>
    <mergeCell ref="M88:N88"/>
    <mergeCell ref="K85:L85"/>
    <mergeCell ref="H91:J91"/>
    <mergeCell ref="H92:J92"/>
    <mergeCell ref="H93:J93"/>
    <mergeCell ref="H89:J89"/>
    <mergeCell ref="H90:J90"/>
    <mergeCell ref="K93:L93"/>
    <mergeCell ref="M92:N92"/>
    <mergeCell ref="M93:N93"/>
    <mergeCell ref="K89:L89"/>
    <mergeCell ref="K90:L90"/>
    <mergeCell ref="K91:L91"/>
    <mergeCell ref="K92:L92"/>
    <mergeCell ref="M89:N89"/>
    <mergeCell ref="M90:N90"/>
    <mergeCell ref="M91:N91"/>
    <mergeCell ref="V91:W91"/>
    <mergeCell ref="V92:W92"/>
    <mergeCell ref="Q89:S89"/>
    <mergeCell ref="Q90:S90"/>
    <mergeCell ref="T89:U89"/>
    <mergeCell ref="V89:W89"/>
    <mergeCell ref="O93:P93"/>
    <mergeCell ref="T91:U91"/>
    <mergeCell ref="T92:U92"/>
    <mergeCell ref="T93:U93"/>
    <mergeCell ref="V93:W93"/>
    <mergeCell ref="Q93:S93"/>
    <mergeCell ref="Q91:S91"/>
    <mergeCell ref="Q92:S92"/>
    <mergeCell ref="O91:P91"/>
    <mergeCell ref="O92:P92"/>
    <mergeCell ref="T90:U90"/>
    <mergeCell ref="V90:W90"/>
    <mergeCell ref="G81:L81"/>
    <mergeCell ref="G82:L82"/>
    <mergeCell ref="M81:P81"/>
    <mergeCell ref="Q81:W81"/>
    <mergeCell ref="O89:P89"/>
    <mergeCell ref="O90:P90"/>
    <mergeCell ref="O88:P88"/>
    <mergeCell ref="O85:P85"/>
  </mergeCells>
  <conditionalFormatting sqref="G7:G8 A7:A8 M7:M8 S7:S8">
    <cfRule type="cellIs" priority="1" dxfId="10" operator="equal" stopIfTrue="1">
      <formula>"X"</formula>
    </cfRule>
    <cfRule type="cellIs" priority="2" dxfId="11" operator="equal" stopIfTrue="1">
      <formula>0</formula>
    </cfRule>
  </conditionalFormatting>
  <conditionalFormatting sqref="H22 M22 Q22 U22">
    <cfRule type="cellIs" priority="3" dxfId="1" operator="equal" stopIfTrue="1">
      <formula>1</formula>
    </cfRule>
    <cfRule type="cellIs" priority="4" dxfId="11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8" r:id="rId4"/>
  <drawing r:id="rId3"/>
  <legacyDrawing r:id="rId2"/>
  <oleObjects>
    <oleObject progId="FLW3Drawing" shapeId="2125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U76"/>
  <sheetViews>
    <sheetView zoomScale="75" zoomScaleNormal="75" zoomScalePageLayoutView="0" workbookViewId="0" topLeftCell="A1">
      <selection activeCell="B4" sqref="B4"/>
    </sheetView>
  </sheetViews>
  <sheetFormatPr defaultColWidth="11.5546875" defaultRowHeight="15"/>
  <cols>
    <col min="1" max="1" width="4.21484375" style="0" customWidth="1"/>
    <col min="2" max="2" width="7.10546875" style="0" customWidth="1"/>
    <col min="4" max="4" width="11.99609375" style="0" customWidth="1"/>
    <col min="12" max="12" width="7.10546875" style="0" customWidth="1"/>
  </cols>
  <sheetData>
    <row r="1" spans="2:12" ht="24" thickTop="1">
      <c r="B1" s="512" t="s">
        <v>95</v>
      </c>
      <c r="C1" s="513"/>
      <c r="D1" s="513"/>
      <c r="E1" s="513"/>
      <c r="F1" s="513"/>
      <c r="G1" s="513"/>
      <c r="H1" s="513"/>
      <c r="I1" s="513"/>
      <c r="J1" s="513"/>
      <c r="K1" s="513"/>
      <c r="L1" s="514"/>
    </row>
    <row r="2" spans="2:12" ht="15">
      <c r="B2" s="107"/>
      <c r="C2" s="23"/>
      <c r="D2" s="23"/>
      <c r="E2" s="23"/>
      <c r="F2" s="23"/>
      <c r="G2" s="23"/>
      <c r="H2" s="23"/>
      <c r="I2" s="23"/>
      <c r="J2" s="23"/>
      <c r="K2" s="23"/>
      <c r="L2" s="108"/>
    </row>
    <row r="3" spans="2:12" ht="16.5" thickBot="1">
      <c r="B3" s="109"/>
      <c r="C3" s="110" t="str">
        <f>design1</f>
        <v>NATIONALE 2</v>
      </c>
      <c r="D3" s="110"/>
      <c r="E3" s="111" t="str">
        <f>design2</f>
        <v>LIGUE</v>
      </c>
      <c r="F3" s="112"/>
      <c r="G3" s="113" t="s">
        <v>75</v>
      </c>
      <c r="H3" s="114" t="str">
        <f>bill</f>
        <v>2m80</v>
      </c>
      <c r="I3" s="113" t="s">
        <v>76</v>
      </c>
      <c r="J3" s="114">
        <f>DISTANCE</f>
        <v>80</v>
      </c>
      <c r="K3" s="110" t="s">
        <v>25</v>
      </c>
      <c r="L3" s="120"/>
    </row>
    <row r="4" spans="3:11" ht="27" customHeight="1" thickTop="1">
      <c r="C4" s="119" t="str">
        <f>lieue</f>
        <v>BILLARD CLUB SAINT-GAUDENS</v>
      </c>
      <c r="D4" s="119"/>
      <c r="E4" s="119"/>
      <c r="F4" s="119"/>
      <c r="H4" s="118" t="str">
        <f>dat</f>
        <v>les 20 et 21/03/2010</v>
      </c>
      <c r="K4" s="210" t="str">
        <f>modjeu</f>
        <v>BANDE</v>
      </c>
    </row>
    <row r="5" ht="6.75" customHeight="1" thickBot="1"/>
    <row r="6" spans="1:12" ht="6.75" customHeight="1" thickTop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3:10" ht="15">
      <c r="C7" s="116" t="s">
        <v>14</v>
      </c>
      <c r="E7" s="116" t="s">
        <v>3</v>
      </c>
      <c r="G7" s="54" t="s">
        <v>4</v>
      </c>
      <c r="I7" s="54" t="s">
        <v>78</v>
      </c>
      <c r="J7" s="54"/>
    </row>
    <row r="8" spans="1:11" ht="21" thickBot="1">
      <c r="A8" s="117">
        <f>'FEUILLE POULE'!U37</f>
        <v>1</v>
      </c>
      <c r="C8" s="214" t="str">
        <f>VLOOKUP($A8,init1,2,FALSE)</f>
        <v>GERARD</v>
      </c>
      <c r="D8" s="211"/>
      <c r="E8" s="211" t="str">
        <f>VLOOKUP($A8,init1,3,FALSE)</f>
        <v>Claude</v>
      </c>
      <c r="F8" s="211"/>
      <c r="G8" s="212" t="str">
        <f>VLOOKUP($A8,init1,4,FALSE)</f>
        <v>St Gaudens</v>
      </c>
      <c r="H8" s="211"/>
      <c r="I8" s="212" t="str">
        <f>VLOOKUP($A8,init1,5,FALSE)</f>
        <v>111086-O</v>
      </c>
      <c r="J8" s="212"/>
      <c r="K8" s="213"/>
    </row>
    <row r="9" spans="3:11" ht="15.75" thickBot="1">
      <c r="C9" s="154" t="s">
        <v>79</v>
      </c>
      <c r="D9" s="155" t="s">
        <v>80</v>
      </c>
      <c r="E9" s="156" t="s">
        <v>7</v>
      </c>
      <c r="F9" s="156" t="s">
        <v>11</v>
      </c>
      <c r="G9" s="156" t="s">
        <v>12</v>
      </c>
      <c r="H9" s="156" t="s">
        <v>13</v>
      </c>
      <c r="I9" s="156" t="s">
        <v>8</v>
      </c>
      <c r="J9" s="157" t="s">
        <v>81</v>
      </c>
      <c r="K9" s="158" t="s">
        <v>82</v>
      </c>
    </row>
    <row r="10" spans="1:13" ht="15">
      <c r="A10" s="23" t="str">
        <f>A8&amp;1</f>
        <v>11</v>
      </c>
      <c r="C10" s="159">
        <f>VLOOKUP($A10,trifin1,3,FALSE)</f>
        <v>4</v>
      </c>
      <c r="D10" s="160" t="str">
        <f>VLOOKUP($A10,trifin1,9,FALSE)</f>
        <v>REMY</v>
      </c>
      <c r="E10" s="161">
        <f>VLOOKUP($A10,trifin1,5,FALSE)</f>
        <v>80</v>
      </c>
      <c r="F10" s="161">
        <f>VLOOKUP($A10,trifin1,6,FALSE)</f>
        <v>33</v>
      </c>
      <c r="G10" s="411">
        <f>IF(F10=0,"",E10/F10)</f>
        <v>2.4242424242424243</v>
      </c>
      <c r="H10" s="411">
        <f>IF(E10=DISTANCE,G10,"-")</f>
        <v>2.4242424242424243</v>
      </c>
      <c r="I10" s="161">
        <f>VLOOKUP($A10,trifin1,7,FALSE)</f>
        <v>17</v>
      </c>
      <c r="J10" s="161">
        <f>VLOOKUP($A10,trifin1,8,FALSE)</f>
        <v>2</v>
      </c>
      <c r="K10" s="162"/>
      <c r="M10">
        <v>1</v>
      </c>
    </row>
    <row r="11" spans="1:13" ht="15">
      <c r="A11" s="23" t="str">
        <f>A8&amp;2</f>
        <v>12</v>
      </c>
      <c r="C11" s="163">
        <f>VLOOKUP($A11,trifin1,3,FALSE)</f>
        <v>5</v>
      </c>
      <c r="D11" s="164" t="str">
        <f>VLOOKUP($A11,trifin1,9,FALSE)</f>
        <v>LIS</v>
      </c>
      <c r="E11" s="165">
        <f>VLOOKUP($A11,trifin1,5,FALSE)</f>
        <v>80</v>
      </c>
      <c r="F11" s="165">
        <f>VLOOKUP($A11,trifin1,6,FALSE)</f>
        <v>25</v>
      </c>
      <c r="G11" s="406">
        <f>IF(F11=0,"",E11/F11)</f>
        <v>3.2</v>
      </c>
      <c r="H11" s="406">
        <f>IF(E11=DISTANCE,G11,"-")</f>
        <v>3.2</v>
      </c>
      <c r="I11" s="165">
        <f>VLOOKUP($A11,trifin1,7,FALSE)</f>
        <v>20</v>
      </c>
      <c r="J11" s="165">
        <f>VLOOKUP($A11,trifin1,8,FALSE)</f>
        <v>2</v>
      </c>
      <c r="K11" s="166"/>
      <c r="M11">
        <v>2</v>
      </c>
    </row>
    <row r="12" spans="1:13" ht="15">
      <c r="A12" s="23" t="str">
        <f>A8&amp;3</f>
        <v>13</v>
      </c>
      <c r="C12" s="163">
        <f>VLOOKUP($A12,trifin1,3,FALSE)</f>
        <v>9</v>
      </c>
      <c r="D12" s="164" t="str">
        <f>VLOOKUP($A12,trifin1,9,FALSE)</f>
        <v>DUFFAUD</v>
      </c>
      <c r="E12" s="165">
        <f>VLOOKUP($A12,trifin1,5,FALSE)</f>
        <v>80</v>
      </c>
      <c r="F12" s="165">
        <f>VLOOKUP($A12,trifin1,6,FALSE)</f>
        <v>32</v>
      </c>
      <c r="G12" s="406">
        <f>IF(F12=0,"",E12/F12)</f>
        <v>2.5</v>
      </c>
      <c r="H12" s="406">
        <f>IF(E12=DISTANCE,G12,"-")</f>
        <v>2.5</v>
      </c>
      <c r="I12" s="165">
        <f>VLOOKUP($A12,trifin1,7,FALSE)</f>
        <v>13</v>
      </c>
      <c r="J12" s="165">
        <f>VLOOKUP($A12,trifin1,8,FALSE)</f>
        <v>2</v>
      </c>
      <c r="K12" s="408">
        <f>IF(I12=0,"-",SUM(E10:E12)/SUM(F10:F12))</f>
        <v>2.6666666666666665</v>
      </c>
      <c r="M12">
        <v>3</v>
      </c>
    </row>
    <row r="13" spans="1:13" ht="15">
      <c r="A13" s="23" t="str">
        <f>A8&amp;4</f>
        <v>14</v>
      </c>
      <c r="C13" s="163">
        <f>VLOOKUP($A13,trifin1,3,FALSE)</f>
        <v>11</v>
      </c>
      <c r="D13" s="164" t="str">
        <f>VLOOKUP($A13,trifin1,9,FALSE)</f>
        <v>CASIMIR</v>
      </c>
      <c r="E13" s="165">
        <f>VLOOKUP($A13,trifin1,5,FALSE)</f>
        <v>80</v>
      </c>
      <c r="F13" s="165">
        <f>VLOOKUP($A13,trifin1,6,FALSE)</f>
        <v>35</v>
      </c>
      <c r="G13" s="406">
        <f>IF(F13=0,"",E13/F13)</f>
        <v>2.2857142857142856</v>
      </c>
      <c r="H13" s="406">
        <f>IF(E13=DISTANCE,G13,"-")</f>
        <v>2.2857142857142856</v>
      </c>
      <c r="I13" s="165">
        <f>VLOOKUP($A13,trifin1,7,FALSE)</f>
        <v>13</v>
      </c>
      <c r="J13" s="165">
        <f>VLOOKUP($A13,trifin1,8,FALSE)</f>
        <v>2</v>
      </c>
      <c r="K13" s="408">
        <f>IF(I13=0,"-",SUM(E11:E13)/SUM(F11:F13))</f>
        <v>2.608695652173913</v>
      </c>
      <c r="M13">
        <v>4</v>
      </c>
    </row>
    <row r="14" spans="1:13" ht="15.75" thickBot="1">
      <c r="A14" s="23" t="str">
        <f>A8&amp;5</f>
        <v>15</v>
      </c>
      <c r="C14" s="167">
        <f>VLOOKUP($A14,trifin1,3,FALSE)</f>
        <v>15</v>
      </c>
      <c r="D14" s="168" t="str">
        <f>VLOOKUP($A14,trifin1,9,FALSE)</f>
        <v>GARDAIS</v>
      </c>
      <c r="E14" s="169">
        <f>VLOOKUP($A14,trifin1,5,FALSE)</f>
        <v>80</v>
      </c>
      <c r="F14" s="169">
        <f>VLOOKUP($A14,trifin1,6,FALSE)</f>
        <v>19</v>
      </c>
      <c r="G14" s="412">
        <f>IF(F14=0,"",E14/F14)</f>
        <v>4.2105263157894735</v>
      </c>
      <c r="H14" s="412">
        <f>IF(E14=DISTANCE,G14,"-")</f>
        <v>4.2105263157894735</v>
      </c>
      <c r="I14" s="169">
        <f>VLOOKUP($A14,trifin1,7,FALSE)</f>
        <v>17</v>
      </c>
      <c r="J14" s="169">
        <f>VLOOKUP($A14,trifin1,8,FALSE)</f>
        <v>2</v>
      </c>
      <c r="K14" s="409">
        <f>IF(I14=0,"-",SUM(E12:E14)/SUM(F12:F14))</f>
        <v>2.7906976744186047</v>
      </c>
      <c r="M14">
        <v>5</v>
      </c>
    </row>
    <row r="15" spans="3:11" ht="15.75" thickBot="1">
      <c r="C15" s="170"/>
      <c r="D15" s="171" t="s">
        <v>83</v>
      </c>
      <c r="E15" s="172">
        <f>SUM(E10:E14)</f>
        <v>400</v>
      </c>
      <c r="F15" s="172">
        <f>SUM(F10:F14)</f>
        <v>144</v>
      </c>
      <c r="G15" s="407">
        <f>E15/F15</f>
        <v>2.7777777777777777</v>
      </c>
      <c r="H15" s="407">
        <f>MAX(H10:H14)</f>
        <v>4.2105263157894735</v>
      </c>
      <c r="I15" s="173">
        <f>MAX(I10:I14)</f>
        <v>20</v>
      </c>
      <c r="J15" s="174">
        <f>SUM(J10:J14)</f>
        <v>10</v>
      </c>
      <c r="K15" s="410">
        <f>MAX(K10:K14)</f>
        <v>2.7906976744186047</v>
      </c>
    </row>
    <row r="16" spans="3:6" ht="15.75">
      <c r="C16" s="516" t="s">
        <v>84</v>
      </c>
      <c r="D16" s="516"/>
      <c r="E16" s="516"/>
      <c r="F16" s="117" t="str">
        <f>VLOOKUP($C8,clasfin2,9,FALSE)</f>
        <v>1er</v>
      </c>
    </row>
    <row r="17" ht="5.25" customHeight="1" thickBot="1"/>
    <row r="18" spans="1:12" ht="5.25" customHeight="1" thickTop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3:10" ht="15">
      <c r="C19" s="116" t="s">
        <v>14</v>
      </c>
      <c r="E19" s="116" t="s">
        <v>3</v>
      </c>
      <c r="G19" s="54" t="s">
        <v>4</v>
      </c>
      <c r="I19" s="54" t="s">
        <v>78</v>
      </c>
      <c r="J19" s="54"/>
    </row>
    <row r="20" spans="1:11" ht="21" thickBot="1">
      <c r="A20" s="117">
        <f>'FEUILLE POULE'!U38</f>
        <v>5</v>
      </c>
      <c r="C20" s="214" t="str">
        <f>VLOOKUP($A20,init1,2,FALSE)</f>
        <v>LIS</v>
      </c>
      <c r="D20" s="211"/>
      <c r="E20" s="211" t="str">
        <f>VLOOKUP($A20,init1,3,FALSE)</f>
        <v>Daniel</v>
      </c>
      <c r="F20" s="211"/>
      <c r="G20" s="212" t="str">
        <f>VLOOKUP($A20,init1,4,FALSE)</f>
        <v>Tarbes</v>
      </c>
      <c r="H20" s="211"/>
      <c r="I20" s="212" t="str">
        <f>VLOOKUP($A20,init1,5,FALSE)</f>
        <v>022590-W</v>
      </c>
      <c r="J20" s="212"/>
      <c r="K20" s="213"/>
    </row>
    <row r="21" spans="3:11" ht="15.75" thickBot="1">
      <c r="C21" s="154" t="s">
        <v>79</v>
      </c>
      <c r="D21" s="155" t="s">
        <v>80</v>
      </c>
      <c r="E21" s="156" t="s">
        <v>7</v>
      </c>
      <c r="F21" s="156" t="s">
        <v>11</v>
      </c>
      <c r="G21" s="156" t="s">
        <v>12</v>
      </c>
      <c r="H21" s="156" t="s">
        <v>13</v>
      </c>
      <c r="I21" s="156" t="s">
        <v>8</v>
      </c>
      <c r="J21" s="157" t="s">
        <v>81</v>
      </c>
      <c r="K21" s="158" t="s">
        <v>82</v>
      </c>
    </row>
    <row r="22" spans="1:13" ht="15">
      <c r="A22" s="23" t="str">
        <f>A20&amp;1</f>
        <v>51</v>
      </c>
      <c r="C22" s="159">
        <f>VLOOKUP($A22,trifin1,3,FALSE)</f>
        <v>2</v>
      </c>
      <c r="D22" s="160" t="str">
        <f>VLOOKUP($A22,trifin1,9,FALSE)</f>
        <v>GARDAIS</v>
      </c>
      <c r="E22" s="161">
        <f>VLOOKUP($A22,trifin1,5,FALSE)</f>
        <v>80</v>
      </c>
      <c r="F22" s="161">
        <f>VLOOKUP($A22,trifin1,6,FALSE)</f>
        <v>41</v>
      </c>
      <c r="G22" s="411">
        <f>IF(F22=0,"",E22/F22)</f>
        <v>1.951219512195122</v>
      </c>
      <c r="H22" s="411">
        <f>IF(E22=DISTANCE,G22,"-")</f>
        <v>1.951219512195122</v>
      </c>
      <c r="I22" s="161">
        <f>VLOOKUP($A22,trifin1,7,FALSE)</f>
        <v>11</v>
      </c>
      <c r="J22" s="161">
        <f>VLOOKUP($A22,trifin1,8,FALSE)</f>
        <v>2</v>
      </c>
      <c r="K22" s="162"/>
      <c r="M22">
        <v>1</v>
      </c>
    </row>
    <row r="23" spans="1:13" ht="15">
      <c r="A23" s="23" t="str">
        <f>A20&amp;2</f>
        <v>52</v>
      </c>
      <c r="C23" s="163">
        <f>VLOOKUP($A23,trifin1,3,FALSE)</f>
        <v>5</v>
      </c>
      <c r="D23" s="164" t="str">
        <f>VLOOKUP($A23,trifin1,9,FALSE)</f>
        <v>GERARD</v>
      </c>
      <c r="E23" s="165">
        <f>VLOOKUP($A23,trifin1,5,FALSE)</f>
        <v>53</v>
      </c>
      <c r="F23" s="165">
        <f>VLOOKUP($A23,trifin1,6,FALSE)</f>
        <v>25</v>
      </c>
      <c r="G23" s="406">
        <f>IF(F23=0,"",E23/F23)</f>
        <v>2.12</v>
      </c>
      <c r="H23" s="406" t="str">
        <f>IF(E23=DISTANCE,G23,"-")</f>
        <v>-</v>
      </c>
      <c r="I23" s="165">
        <f>VLOOKUP($A23,trifin1,7,FALSE)</f>
        <v>9</v>
      </c>
      <c r="J23" s="165">
        <f>VLOOKUP($A23,trifin1,8,FALSE)</f>
        <v>0</v>
      </c>
      <c r="K23" s="166"/>
      <c r="M23">
        <v>2</v>
      </c>
    </row>
    <row r="24" spans="1:13" ht="15">
      <c r="A24" s="23" t="str">
        <f>A20&amp;3</f>
        <v>53</v>
      </c>
      <c r="C24" s="163">
        <f>VLOOKUP($A24,trifin1,3,FALSE)</f>
        <v>8</v>
      </c>
      <c r="D24" s="164" t="str">
        <f>VLOOKUP($A24,trifin1,9,FALSE)</f>
        <v>CASIMIR</v>
      </c>
      <c r="E24" s="165">
        <f>VLOOKUP($A24,trifin1,5,FALSE)</f>
        <v>80</v>
      </c>
      <c r="F24" s="165">
        <f>VLOOKUP($A24,trifin1,6,FALSE)</f>
        <v>45</v>
      </c>
      <c r="G24" s="406">
        <f>IF(F24=0,"",E24/F24)</f>
        <v>1.7777777777777777</v>
      </c>
      <c r="H24" s="406">
        <f>IF(E24=DISTANCE,G24,"-")</f>
        <v>1.7777777777777777</v>
      </c>
      <c r="I24" s="165">
        <f>VLOOKUP($A24,trifin1,7,FALSE)</f>
        <v>8</v>
      </c>
      <c r="J24" s="165">
        <f>VLOOKUP($A24,trifin1,8,FALSE)</f>
        <v>2</v>
      </c>
      <c r="K24" s="408">
        <f>IF(I24=0,"-",SUM(E22:E24)/SUM(F22:F24))</f>
        <v>1.9189189189189189</v>
      </c>
      <c r="M24">
        <v>3</v>
      </c>
    </row>
    <row r="25" spans="1:13" ht="15">
      <c r="A25" s="23" t="str">
        <f>A20&amp;4</f>
        <v>54</v>
      </c>
      <c r="C25" s="163">
        <f>VLOOKUP($A25,trifin1,3,FALSE)</f>
        <v>10</v>
      </c>
      <c r="D25" s="164" t="str">
        <f>VLOOKUP($A25,trifin1,9,FALSE)</f>
        <v>REMY</v>
      </c>
      <c r="E25" s="165">
        <f>VLOOKUP($A25,trifin1,5,FALSE)</f>
        <v>80</v>
      </c>
      <c r="F25" s="165">
        <f>VLOOKUP($A25,trifin1,6,FALSE)</f>
        <v>39</v>
      </c>
      <c r="G25" s="406">
        <f>IF(F25=0,"",E25/F25)</f>
        <v>2.051282051282051</v>
      </c>
      <c r="H25" s="406">
        <f>IF(E25=DISTANCE,G25,"-")</f>
        <v>2.051282051282051</v>
      </c>
      <c r="I25" s="165">
        <f>VLOOKUP($A25,trifin1,7,FALSE)</f>
        <v>11</v>
      </c>
      <c r="J25" s="165">
        <f>VLOOKUP($A25,trifin1,8,FALSE)</f>
        <v>2</v>
      </c>
      <c r="K25" s="408">
        <f>IF(I25=0,"-",SUM(E23:E25)/SUM(F23:F25))</f>
        <v>1.9541284403669725</v>
      </c>
      <c r="M25">
        <v>4</v>
      </c>
    </row>
    <row r="26" spans="1:13" ht="15.75" thickBot="1">
      <c r="A26" s="23" t="str">
        <f>A20&amp;5</f>
        <v>55</v>
      </c>
      <c r="C26" s="167">
        <f>VLOOKUP($A26,trifin1,3,FALSE)</f>
        <v>13</v>
      </c>
      <c r="D26" s="168" t="str">
        <f>VLOOKUP($A26,trifin1,9,FALSE)</f>
        <v>DUFFAUD</v>
      </c>
      <c r="E26" s="169">
        <f>VLOOKUP($A26,trifin1,5,FALSE)</f>
        <v>80</v>
      </c>
      <c r="F26" s="169">
        <f>VLOOKUP($A26,trifin1,6,FALSE)</f>
        <v>38</v>
      </c>
      <c r="G26" s="412">
        <f>IF(F26=0,"",E26/F26)</f>
        <v>2.1052631578947367</v>
      </c>
      <c r="H26" s="412">
        <f>IF(E26=DISTANCE,G26,"-")</f>
        <v>2.1052631578947367</v>
      </c>
      <c r="I26" s="169">
        <f>VLOOKUP($A26,trifin1,7,FALSE)</f>
        <v>8</v>
      </c>
      <c r="J26" s="169">
        <f>VLOOKUP($A26,trifin1,8,FALSE)</f>
        <v>2</v>
      </c>
      <c r="K26" s="409">
        <f>IF(I26=0,"-",SUM(E24:E26)/SUM(F24:F26))</f>
        <v>1.9672131147540983</v>
      </c>
      <c r="M26">
        <v>5</v>
      </c>
    </row>
    <row r="27" spans="3:11" ht="15.75" thickBot="1">
      <c r="C27" s="170"/>
      <c r="D27" s="171" t="s">
        <v>83</v>
      </c>
      <c r="E27" s="172">
        <f>SUM(E22:E26)</f>
        <v>373</v>
      </c>
      <c r="F27" s="172">
        <f>SUM(F22:F26)</f>
        <v>188</v>
      </c>
      <c r="G27" s="407">
        <f>E27/F27</f>
        <v>1.9840425531914894</v>
      </c>
      <c r="H27" s="407">
        <f>MAX(H22:H26)</f>
        <v>2.1052631578947367</v>
      </c>
      <c r="I27" s="173">
        <f>MAX(I22:I26)</f>
        <v>11</v>
      </c>
      <c r="J27" s="174">
        <f>SUM(J22:J26)</f>
        <v>8</v>
      </c>
      <c r="K27" s="410">
        <f>MAX(K22:K26)</f>
        <v>1.9672131147540983</v>
      </c>
    </row>
    <row r="28" spans="3:6" ht="15.75">
      <c r="C28" s="516" t="s">
        <v>84</v>
      </c>
      <c r="D28" s="516"/>
      <c r="E28" s="516"/>
      <c r="F28" s="117" t="str">
        <f>VLOOKUP($C20,clasfin2,9,FALSE)</f>
        <v>2ème</v>
      </c>
    </row>
    <row r="29" ht="5.25" customHeight="1" thickBot="1"/>
    <row r="30" spans="1:12" ht="5.25" customHeight="1" thickTop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3:10" ht="15">
      <c r="C31" s="116" t="s">
        <v>14</v>
      </c>
      <c r="E31" s="116" t="s">
        <v>3</v>
      </c>
      <c r="G31" s="54" t="s">
        <v>4</v>
      </c>
      <c r="I31" s="54" t="s">
        <v>78</v>
      </c>
      <c r="J31" s="54"/>
    </row>
    <row r="32" spans="1:11" ht="21" thickBot="1">
      <c r="A32" s="117">
        <f>'FEUILLE POULE'!U39</f>
        <v>6</v>
      </c>
      <c r="C32" s="214" t="str">
        <f>VLOOKUP($A32,init1,2,FALSE)</f>
        <v>REMY</v>
      </c>
      <c r="D32" s="211"/>
      <c r="E32" s="211" t="str">
        <f>VLOOKUP($A32,init1,3,FALSE)</f>
        <v>Robert</v>
      </c>
      <c r="F32" s="211"/>
      <c r="G32" s="212" t="str">
        <f>VLOOKUP($A32,init1,4,FALSE)</f>
        <v>St-Gaudens</v>
      </c>
      <c r="H32" s="211"/>
      <c r="I32" s="212" t="str">
        <f>VLOOKUP($A32,init1,5,FALSE)</f>
        <v>022499-J</v>
      </c>
      <c r="J32" s="212"/>
      <c r="K32" s="213"/>
    </row>
    <row r="33" spans="3:11" ht="15.75" thickBot="1">
      <c r="C33" s="154" t="s">
        <v>79</v>
      </c>
      <c r="D33" s="155" t="s">
        <v>80</v>
      </c>
      <c r="E33" s="156" t="s">
        <v>7</v>
      </c>
      <c r="F33" s="156" t="s">
        <v>11</v>
      </c>
      <c r="G33" s="156" t="s">
        <v>12</v>
      </c>
      <c r="H33" s="156" t="s">
        <v>13</v>
      </c>
      <c r="I33" s="156" t="s">
        <v>8</v>
      </c>
      <c r="J33" s="157" t="s">
        <v>81</v>
      </c>
      <c r="K33" s="158" t="s">
        <v>82</v>
      </c>
    </row>
    <row r="34" spans="1:13" ht="15">
      <c r="A34" s="23" t="str">
        <f>A32&amp;1</f>
        <v>61</v>
      </c>
      <c r="C34" s="159">
        <f>VLOOKUP($A34,trifin1,3,FALSE)</f>
        <v>4</v>
      </c>
      <c r="D34" s="160" t="str">
        <f>VLOOKUP($A34,trifin1,9,FALSE)</f>
        <v>GERARD</v>
      </c>
      <c r="E34" s="161">
        <f>VLOOKUP($A34,trifin1,5,FALSE)</f>
        <v>62</v>
      </c>
      <c r="F34" s="161">
        <f>VLOOKUP($A34,trifin1,6,FALSE)</f>
        <v>33</v>
      </c>
      <c r="G34" s="411">
        <f>IF(F34=0,"",E34/F34)</f>
        <v>1.878787878787879</v>
      </c>
      <c r="H34" s="411" t="str">
        <f>IF(E34=DISTANCE,G34,"-")</f>
        <v>-</v>
      </c>
      <c r="I34" s="161">
        <f>VLOOKUP($A34,trifin1,7,FALSE)</f>
        <v>8</v>
      </c>
      <c r="J34" s="161">
        <f>VLOOKUP($A34,trifin1,8,FALSE)</f>
        <v>0</v>
      </c>
      <c r="K34" s="162"/>
      <c r="M34">
        <v>1</v>
      </c>
    </row>
    <row r="35" spans="1:13" ht="15">
      <c r="A35" s="23" t="str">
        <f>A32&amp;2</f>
        <v>62</v>
      </c>
      <c r="C35" s="163">
        <f>VLOOKUP($A35,trifin1,3,FALSE)</f>
        <v>6</v>
      </c>
      <c r="D35" s="164" t="str">
        <f>VLOOKUP($A35,trifin1,9,FALSE)</f>
        <v>DUFFAUD</v>
      </c>
      <c r="E35" s="165">
        <f>VLOOKUP($A35,trifin1,5,FALSE)</f>
        <v>80</v>
      </c>
      <c r="F35" s="165">
        <f>VLOOKUP($A35,trifin1,6,FALSE)</f>
        <v>34</v>
      </c>
      <c r="G35" s="406">
        <f>IF(F35=0,"",E35/F35)</f>
        <v>2.3529411764705883</v>
      </c>
      <c r="H35" s="406">
        <f>IF(E35=DISTANCE,G35,"-")</f>
        <v>2.3529411764705883</v>
      </c>
      <c r="I35" s="165">
        <f>VLOOKUP($A35,trifin1,7,FALSE)</f>
        <v>15</v>
      </c>
      <c r="J35" s="165">
        <f>VLOOKUP($A35,trifin1,8,FALSE)</f>
        <v>2</v>
      </c>
      <c r="K35" s="166"/>
      <c r="M35">
        <v>2</v>
      </c>
    </row>
    <row r="36" spans="1:13" ht="15">
      <c r="A36" s="23" t="str">
        <f>A32&amp;3</f>
        <v>63</v>
      </c>
      <c r="C36" s="163">
        <f>VLOOKUP($A36,trifin1,3,FALSE)</f>
        <v>7</v>
      </c>
      <c r="D36" s="164" t="str">
        <f>VLOOKUP($A36,trifin1,9,FALSE)</f>
        <v>GARDAIS</v>
      </c>
      <c r="E36" s="165">
        <f>VLOOKUP($A36,trifin1,5,FALSE)</f>
        <v>80</v>
      </c>
      <c r="F36" s="165">
        <f>VLOOKUP($A36,trifin1,6,FALSE)</f>
        <v>34</v>
      </c>
      <c r="G36" s="406">
        <f>IF(F36=0,"",E36/F36)</f>
        <v>2.3529411764705883</v>
      </c>
      <c r="H36" s="406">
        <f>IF(E36=DISTANCE,G36,"-")</f>
        <v>2.3529411764705883</v>
      </c>
      <c r="I36" s="165">
        <f>VLOOKUP($A36,trifin1,7,FALSE)</f>
        <v>13</v>
      </c>
      <c r="J36" s="165">
        <f>VLOOKUP($A36,trifin1,8,FALSE)</f>
        <v>2</v>
      </c>
      <c r="K36" s="408">
        <f>IF(I36=0,"-",SUM(E34:E36)/SUM(F34:F36))</f>
        <v>2.198019801980198</v>
      </c>
      <c r="M36">
        <v>3</v>
      </c>
    </row>
    <row r="37" spans="1:13" ht="15">
      <c r="A37" s="23" t="str">
        <f>A32&amp;4</f>
        <v>64</v>
      </c>
      <c r="C37" s="163">
        <f>VLOOKUP($A37,trifin1,3,FALSE)</f>
        <v>10</v>
      </c>
      <c r="D37" s="164" t="str">
        <f>VLOOKUP($A37,trifin1,9,FALSE)</f>
        <v>LIS</v>
      </c>
      <c r="E37" s="165">
        <f>VLOOKUP($A37,trifin1,5,FALSE)</f>
        <v>58</v>
      </c>
      <c r="F37" s="165">
        <f>VLOOKUP($A37,trifin1,6,FALSE)</f>
        <v>39</v>
      </c>
      <c r="G37" s="406">
        <f>IF(F37=0,"",E37/F37)</f>
        <v>1.4871794871794872</v>
      </c>
      <c r="H37" s="406" t="str">
        <f>IF(E37=DISTANCE,G37,"-")</f>
        <v>-</v>
      </c>
      <c r="I37" s="165">
        <f>VLOOKUP($A37,trifin1,7,FALSE)</f>
        <v>6</v>
      </c>
      <c r="J37" s="165">
        <f>VLOOKUP($A37,trifin1,8,FALSE)</f>
        <v>0</v>
      </c>
      <c r="K37" s="408">
        <f>IF(I37=0,"-",SUM(E35:E37)/SUM(F35:F37))</f>
        <v>2.0373831775700935</v>
      </c>
      <c r="M37">
        <v>4</v>
      </c>
    </row>
    <row r="38" spans="1:13" ht="15.75" thickBot="1">
      <c r="A38" s="23" t="str">
        <f>A32&amp;5</f>
        <v>65</v>
      </c>
      <c r="C38" s="167">
        <f>VLOOKUP($A38,trifin1,3,FALSE)</f>
        <v>14</v>
      </c>
      <c r="D38" s="168" t="str">
        <f>VLOOKUP($A38,trifin1,9,FALSE)</f>
        <v>CASIMIR</v>
      </c>
      <c r="E38" s="169">
        <f>VLOOKUP($A38,trifin1,5,FALSE)</f>
        <v>80</v>
      </c>
      <c r="F38" s="169">
        <f>VLOOKUP($A38,trifin1,6,FALSE)</f>
        <v>31</v>
      </c>
      <c r="G38" s="412">
        <f>IF(F38=0,"",E38/F38)</f>
        <v>2.5806451612903225</v>
      </c>
      <c r="H38" s="412">
        <f>IF(E38=DISTANCE,G38,"-")</f>
        <v>2.5806451612903225</v>
      </c>
      <c r="I38" s="169">
        <f>VLOOKUP($A38,trifin1,7,FALSE)</f>
        <v>10</v>
      </c>
      <c r="J38" s="169">
        <f>VLOOKUP($A38,trifin1,8,FALSE)</f>
        <v>2</v>
      </c>
      <c r="K38" s="409">
        <f>IF(I38=0,"-",SUM(E36:E38)/SUM(F36:F38))</f>
        <v>2.0961538461538463</v>
      </c>
      <c r="M38">
        <v>5</v>
      </c>
    </row>
    <row r="39" spans="3:11" ht="15.75" thickBot="1">
      <c r="C39" s="170"/>
      <c r="D39" s="171" t="s">
        <v>83</v>
      </c>
      <c r="E39" s="172">
        <f>SUM(E34:E38)</f>
        <v>360</v>
      </c>
      <c r="F39" s="172">
        <f>SUM(F34:F38)</f>
        <v>171</v>
      </c>
      <c r="G39" s="407">
        <f>E39/F39</f>
        <v>2.1052631578947367</v>
      </c>
      <c r="H39" s="407">
        <f>MAX(H34:H38)</f>
        <v>2.5806451612903225</v>
      </c>
      <c r="I39" s="173">
        <f>MAX(I34:I38)</f>
        <v>15</v>
      </c>
      <c r="J39" s="174">
        <f>SUM(J34:J38)</f>
        <v>6</v>
      </c>
      <c r="K39" s="410">
        <f>MAX(K34:K38)</f>
        <v>2.198019801980198</v>
      </c>
    </row>
    <row r="40" spans="3:6" ht="15.75">
      <c r="C40" s="516" t="s">
        <v>84</v>
      </c>
      <c r="D40" s="516"/>
      <c r="E40" s="516"/>
      <c r="F40" s="117" t="str">
        <f>VLOOKUP($C32,clasfin2,9,FALSE)</f>
        <v>3ème</v>
      </c>
    </row>
    <row r="41" ht="5.25" customHeight="1" thickBot="1"/>
    <row r="42" spans="1:12" ht="5.25" customHeight="1" thickTop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3:10" ht="15">
      <c r="C43" s="116" t="s">
        <v>14</v>
      </c>
      <c r="E43" s="116" t="s">
        <v>3</v>
      </c>
      <c r="G43" s="54" t="s">
        <v>4</v>
      </c>
      <c r="I43" s="54" t="s">
        <v>78</v>
      </c>
      <c r="J43" s="54"/>
    </row>
    <row r="44" spans="1:11" ht="21" thickBot="1">
      <c r="A44" s="117">
        <f>'FEUILLE POULE'!U40</f>
        <v>2</v>
      </c>
      <c r="C44" s="214" t="str">
        <f>VLOOKUP($A44,init1,2,FALSE)</f>
        <v>GARDAIS</v>
      </c>
      <c r="D44" s="211"/>
      <c r="E44" s="211" t="str">
        <f>VLOOKUP($A44,init1,3,FALSE)</f>
        <v>Jean  </v>
      </c>
      <c r="F44" s="211"/>
      <c r="G44" s="212" t="str">
        <f>VLOOKUP($A44,init1,4,FALSE)</f>
        <v>Tarbes</v>
      </c>
      <c r="H44" s="211"/>
      <c r="I44" s="212" t="str">
        <f>VLOOKUP($A44,init1,5,FALSE)</f>
        <v>110833-V</v>
      </c>
      <c r="J44" s="212"/>
      <c r="K44" s="213"/>
    </row>
    <row r="45" spans="3:11" ht="15.75" thickBot="1">
      <c r="C45" s="154" t="s">
        <v>79</v>
      </c>
      <c r="D45" s="155" t="s">
        <v>80</v>
      </c>
      <c r="E45" s="156" t="s">
        <v>7</v>
      </c>
      <c r="F45" s="156" t="s">
        <v>11</v>
      </c>
      <c r="G45" s="156" t="s">
        <v>12</v>
      </c>
      <c r="H45" s="156" t="s">
        <v>13</v>
      </c>
      <c r="I45" s="156" t="s">
        <v>8</v>
      </c>
      <c r="J45" s="157" t="s">
        <v>81</v>
      </c>
      <c r="K45" s="158" t="s">
        <v>82</v>
      </c>
    </row>
    <row r="46" spans="1:21" ht="15">
      <c r="A46" s="23" t="str">
        <f>A44&amp;1</f>
        <v>21</v>
      </c>
      <c r="C46" s="159">
        <f>VLOOKUP($A46,trifin1,3,FALSE)</f>
        <v>2</v>
      </c>
      <c r="D46" s="160" t="str">
        <f>VLOOKUP($A46,trifin1,9,FALSE)</f>
        <v>LIS</v>
      </c>
      <c r="E46" s="161">
        <f>VLOOKUP($A46,trifin1,5,FALSE)</f>
        <v>48</v>
      </c>
      <c r="F46" s="161">
        <f>VLOOKUP($A46,trifin1,6,FALSE)</f>
        <v>41</v>
      </c>
      <c r="G46" s="411">
        <f>IF(F46=0,"",E46/F46)</f>
        <v>1.170731707317073</v>
      </c>
      <c r="H46" s="411" t="str">
        <f>IF(E46=DISTANCE,G46,"-")</f>
        <v>-</v>
      </c>
      <c r="I46" s="161">
        <f>VLOOKUP($A46,trifin1,7,FALSE)</f>
        <v>5</v>
      </c>
      <c r="J46" s="161">
        <f>VLOOKUP($A46,trifin1,8,FALSE)</f>
        <v>0</v>
      </c>
      <c r="K46" s="162"/>
      <c r="M46">
        <v>1</v>
      </c>
      <c r="O46" s="280"/>
      <c r="P46" s="280"/>
      <c r="Q46" s="281"/>
      <c r="R46" s="23"/>
      <c r="S46" s="23"/>
      <c r="T46" s="23"/>
      <c r="U46" s="23"/>
    </row>
    <row r="47" spans="1:21" ht="15">
      <c r="A47" s="23" t="str">
        <f>A44&amp;2</f>
        <v>22</v>
      </c>
      <c r="C47" s="163">
        <f>VLOOKUP($A47,trifin1,3,FALSE)</f>
        <v>3</v>
      </c>
      <c r="D47" s="164" t="str">
        <f>VLOOKUP($A47,trifin1,9,FALSE)</f>
        <v>CASIMIR</v>
      </c>
      <c r="E47" s="165">
        <f>VLOOKUP($A47,trifin1,5,FALSE)</f>
        <v>68</v>
      </c>
      <c r="F47" s="165">
        <f>VLOOKUP($A47,trifin1,6,FALSE)</f>
        <v>38</v>
      </c>
      <c r="G47" s="406">
        <f>IF(F47=0,"",E47/F47)</f>
        <v>1.7894736842105263</v>
      </c>
      <c r="H47" s="406" t="str">
        <f>IF(E47=DISTANCE,G47,"-")</f>
        <v>-</v>
      </c>
      <c r="I47" s="165">
        <f>VLOOKUP($A47,trifin1,7,FALSE)</f>
        <v>11</v>
      </c>
      <c r="J47" s="165">
        <f>VLOOKUP($A47,trifin1,8,FALSE)</f>
        <v>0</v>
      </c>
      <c r="K47" s="166"/>
      <c r="M47">
        <v>2</v>
      </c>
      <c r="O47" s="280"/>
      <c r="P47" s="280"/>
      <c r="Q47" s="281"/>
      <c r="R47" s="23"/>
      <c r="S47" s="23"/>
      <c r="T47" s="23"/>
      <c r="U47" s="23"/>
    </row>
    <row r="48" spans="1:21" ht="15">
      <c r="A48" s="23" t="str">
        <f>A44&amp;3</f>
        <v>23</v>
      </c>
      <c r="C48" s="163">
        <f>VLOOKUP($A48,trifin1,3,FALSE)</f>
        <v>7</v>
      </c>
      <c r="D48" s="164" t="str">
        <f>VLOOKUP($A48,trifin1,9,FALSE)</f>
        <v>REMY</v>
      </c>
      <c r="E48" s="165">
        <f>VLOOKUP($A48,trifin1,5,FALSE)</f>
        <v>73</v>
      </c>
      <c r="F48" s="165">
        <f>VLOOKUP($A48,trifin1,6,FALSE)</f>
        <v>34</v>
      </c>
      <c r="G48" s="406">
        <f>IF(F48=0,"",E48/F48)</f>
        <v>2.1470588235294117</v>
      </c>
      <c r="H48" s="406" t="str">
        <f>IF(E48=DISTANCE,G48,"-")</f>
        <v>-</v>
      </c>
      <c r="I48" s="165">
        <f>VLOOKUP($A48,trifin1,7,FALSE)</f>
        <v>8</v>
      </c>
      <c r="J48" s="165">
        <f>VLOOKUP($A48,trifin1,8,FALSE)</f>
        <v>0</v>
      </c>
      <c r="K48" s="408">
        <f>IF(I48=0,"-",SUM(E46:E48)/SUM(F46:F48))</f>
        <v>1.6725663716814159</v>
      </c>
      <c r="M48">
        <v>3</v>
      </c>
      <c r="O48" s="280"/>
      <c r="P48" s="280"/>
      <c r="Q48" s="281"/>
      <c r="R48" s="23"/>
      <c r="S48" s="23"/>
      <c r="T48" s="23"/>
      <c r="U48" s="281"/>
    </row>
    <row r="49" spans="1:21" ht="15">
      <c r="A49" s="23" t="str">
        <f>A44&amp;4</f>
        <v>24</v>
      </c>
      <c r="C49" s="163">
        <f>VLOOKUP($A49,trifin1,3,FALSE)</f>
        <v>12</v>
      </c>
      <c r="D49" s="164" t="str">
        <f>VLOOKUP($A49,trifin1,9,FALSE)</f>
        <v>DUFFAUD</v>
      </c>
      <c r="E49" s="165">
        <f>VLOOKUP($A49,trifin1,5,FALSE)</f>
        <v>80</v>
      </c>
      <c r="F49" s="165">
        <f>VLOOKUP($A49,trifin1,6,FALSE)</f>
        <v>39</v>
      </c>
      <c r="G49" s="406">
        <f>IF(F49=0,"",E49/F49)</f>
        <v>2.051282051282051</v>
      </c>
      <c r="H49" s="406">
        <f>IF(E49=DISTANCE,G49,"-")</f>
        <v>2.051282051282051</v>
      </c>
      <c r="I49" s="165">
        <f>VLOOKUP($A49,trifin1,7,FALSE)</f>
        <v>10</v>
      </c>
      <c r="J49" s="165">
        <f>VLOOKUP($A49,trifin1,8,FALSE)</f>
        <v>2</v>
      </c>
      <c r="K49" s="408">
        <f>IF(I49=0,"-",SUM(E47:E49)/SUM(F47:F49))</f>
        <v>1.990990990990991</v>
      </c>
      <c r="M49">
        <v>4</v>
      </c>
      <c r="O49" s="280"/>
      <c r="P49" s="280"/>
      <c r="Q49" s="281"/>
      <c r="R49" s="23"/>
      <c r="S49" s="23"/>
      <c r="T49" s="23"/>
      <c r="U49" s="281"/>
    </row>
    <row r="50" spans="1:21" ht="15.75" thickBot="1">
      <c r="A50" s="23" t="str">
        <f>A44&amp;5</f>
        <v>25</v>
      </c>
      <c r="C50" s="167">
        <f>VLOOKUP($A50,trifin1,3,FALSE)</f>
        <v>15</v>
      </c>
      <c r="D50" s="168" t="str">
        <f>VLOOKUP($A50,trifin1,9,FALSE)</f>
        <v>GERARD</v>
      </c>
      <c r="E50" s="169">
        <f>VLOOKUP($A50,trifin1,5,FALSE)</f>
        <v>23</v>
      </c>
      <c r="F50" s="169">
        <f>VLOOKUP($A50,trifin1,6,FALSE)</f>
        <v>19</v>
      </c>
      <c r="G50" s="412">
        <f>IF(F50=0,"",E50/F50)</f>
        <v>1.2105263157894737</v>
      </c>
      <c r="H50" s="412" t="str">
        <f>IF(E50=DISTANCE,G50,"-")</f>
        <v>-</v>
      </c>
      <c r="I50" s="169">
        <f>VLOOKUP($A50,trifin1,7,FALSE)</f>
        <v>5</v>
      </c>
      <c r="J50" s="169">
        <f>VLOOKUP($A50,trifin1,8,FALSE)</f>
        <v>0</v>
      </c>
      <c r="K50" s="409">
        <f>IF(I50=0,"-",SUM(E48:E50)/SUM(F48:F50))</f>
        <v>1.9130434782608696</v>
      </c>
      <c r="M50">
        <v>5</v>
      </c>
      <c r="O50" s="280"/>
      <c r="P50" s="280"/>
      <c r="Q50" s="281"/>
      <c r="R50" s="23"/>
      <c r="S50" s="23"/>
      <c r="T50" s="23"/>
      <c r="U50" s="281"/>
    </row>
    <row r="51" spans="3:21" ht="15.75" thickBot="1">
      <c r="C51" s="170"/>
      <c r="D51" s="171" t="s">
        <v>83</v>
      </c>
      <c r="E51" s="172">
        <f>SUM(E46:E50)</f>
        <v>292</v>
      </c>
      <c r="F51" s="172">
        <f>SUM(F46:F50)</f>
        <v>171</v>
      </c>
      <c r="G51" s="407">
        <f>E51/F51</f>
        <v>1.7076023391812865</v>
      </c>
      <c r="H51" s="407">
        <f>MAX(H46:H50)</f>
        <v>2.051282051282051</v>
      </c>
      <c r="I51" s="173">
        <f>MAX(I46:I50)</f>
        <v>11</v>
      </c>
      <c r="J51" s="174">
        <f>SUM(J46:J50)</f>
        <v>2</v>
      </c>
      <c r="K51" s="410">
        <f>MAX(K46:K50)</f>
        <v>1.990990990990991</v>
      </c>
      <c r="O51" s="280"/>
      <c r="P51" s="280"/>
      <c r="Q51" s="281"/>
      <c r="R51" s="23"/>
      <c r="S51" s="23"/>
      <c r="T51" s="23"/>
      <c r="U51" s="281"/>
    </row>
    <row r="52" spans="3:21" ht="15.75">
      <c r="C52" s="516" t="s">
        <v>84</v>
      </c>
      <c r="D52" s="516"/>
      <c r="E52" s="516"/>
      <c r="F52" s="117" t="str">
        <f>VLOOKUP($C44,clasfin2,9,FALSE)</f>
        <v>4ème</v>
      </c>
      <c r="O52" s="23"/>
      <c r="P52" s="23"/>
      <c r="Q52" s="23"/>
      <c r="R52" s="23"/>
      <c r="S52" s="23"/>
      <c r="T52" s="23"/>
      <c r="U52" s="23"/>
    </row>
    <row r="53" spans="15:21" ht="5.25" customHeight="1" thickBot="1">
      <c r="O53" s="23"/>
      <c r="P53" s="23"/>
      <c r="Q53" s="23"/>
      <c r="R53" s="23"/>
      <c r="S53" s="23"/>
      <c r="T53" s="23"/>
      <c r="U53" s="23"/>
    </row>
    <row r="54" spans="1:21" ht="5.25" customHeight="1" thickTop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O54" s="23"/>
      <c r="P54" s="23"/>
      <c r="Q54" s="23"/>
      <c r="R54" s="23"/>
      <c r="S54" s="23"/>
      <c r="T54" s="23"/>
      <c r="U54" s="23"/>
    </row>
    <row r="55" spans="3:21" ht="15">
      <c r="C55" s="116" t="s">
        <v>14</v>
      </c>
      <c r="E55" s="116" t="s">
        <v>3</v>
      </c>
      <c r="G55" s="54" t="s">
        <v>4</v>
      </c>
      <c r="I55" s="54" t="s">
        <v>78</v>
      </c>
      <c r="J55" s="54"/>
      <c r="O55" s="23"/>
      <c r="P55" s="23"/>
      <c r="Q55" s="23"/>
      <c r="R55" s="23"/>
      <c r="S55" s="23"/>
      <c r="T55" s="23"/>
      <c r="U55" s="23"/>
    </row>
    <row r="56" spans="1:21" ht="21" thickBot="1">
      <c r="A56" s="117">
        <f>'FEUILLE POULE'!U41</f>
        <v>3</v>
      </c>
      <c r="C56" s="214" t="str">
        <f>VLOOKUP($A56,init1,2,FALSE)</f>
        <v>CASIMIR</v>
      </c>
      <c r="D56" s="211"/>
      <c r="E56" s="211" t="str">
        <f>VLOOKUP($A56,init1,3,FALSE)</f>
        <v>Christan</v>
      </c>
      <c r="F56" s="211"/>
      <c r="G56" s="212" t="str">
        <f>VLOOKUP($A56,init1,4,FALSE)</f>
        <v>Cahors</v>
      </c>
      <c r="H56" s="211"/>
      <c r="I56" s="212" t="str">
        <f>VLOOKUP($A56,init1,5,FALSE)</f>
        <v>022648-C</v>
      </c>
      <c r="J56" s="212"/>
      <c r="K56" s="213"/>
      <c r="O56" s="23"/>
      <c r="P56" s="23"/>
      <c r="Q56" s="23"/>
      <c r="R56" s="23"/>
      <c r="S56" s="23"/>
      <c r="T56" s="23"/>
      <c r="U56" s="23"/>
    </row>
    <row r="57" spans="3:21" ht="15.75" thickBot="1">
      <c r="C57" s="154" t="s">
        <v>79</v>
      </c>
      <c r="D57" s="155" t="s">
        <v>80</v>
      </c>
      <c r="E57" s="156" t="s">
        <v>7</v>
      </c>
      <c r="F57" s="156" t="s">
        <v>11</v>
      </c>
      <c r="G57" s="156" t="s">
        <v>12</v>
      </c>
      <c r="H57" s="156" t="s">
        <v>13</v>
      </c>
      <c r="I57" s="156" t="s">
        <v>8</v>
      </c>
      <c r="J57" s="157" t="s">
        <v>81</v>
      </c>
      <c r="K57" s="158" t="s">
        <v>82</v>
      </c>
      <c r="O57" s="23"/>
      <c r="P57" s="23"/>
      <c r="Q57" s="23"/>
      <c r="R57" s="23"/>
      <c r="S57" s="23"/>
      <c r="T57" s="23"/>
      <c r="U57" s="23"/>
    </row>
    <row r="58" spans="1:21" ht="15">
      <c r="A58" s="23" t="str">
        <f>A56&amp;1</f>
        <v>31</v>
      </c>
      <c r="C58" s="159">
        <f>VLOOKUP($A58,trifin1,3,FALSE)</f>
        <v>1</v>
      </c>
      <c r="D58" s="160" t="str">
        <f>VLOOKUP($A58,trifin1,9,FALSE)</f>
        <v>DUFFAUD</v>
      </c>
      <c r="E58" s="161">
        <f>VLOOKUP($A58,trifin1,5,FALSE)</f>
        <v>69</v>
      </c>
      <c r="F58" s="161">
        <f>VLOOKUP($A58,trifin1,6,FALSE)</f>
        <v>48</v>
      </c>
      <c r="G58" s="411">
        <f>IF(F58=0,"",E58/F58)</f>
        <v>1.4375</v>
      </c>
      <c r="H58" s="411" t="str">
        <f>IF(E58=DISTANCE,G58,"-")</f>
        <v>-</v>
      </c>
      <c r="I58" s="161">
        <f>VLOOKUP($A58,trifin1,7,FALSE)</f>
        <v>4</v>
      </c>
      <c r="J58" s="161">
        <f>VLOOKUP($A58,trifin1,8,FALSE)</f>
        <v>0</v>
      </c>
      <c r="K58" s="162"/>
      <c r="M58">
        <v>1</v>
      </c>
      <c r="O58" s="23"/>
      <c r="P58" s="23"/>
      <c r="Q58" s="281"/>
      <c r="R58" s="23"/>
      <c r="S58" s="280"/>
      <c r="T58" s="23"/>
      <c r="U58" s="23"/>
    </row>
    <row r="59" spans="1:21" ht="15">
      <c r="A59" s="23" t="str">
        <f>A56&amp;2</f>
        <v>32</v>
      </c>
      <c r="C59" s="163">
        <f>VLOOKUP($A59,trifin1,3,FALSE)</f>
        <v>3</v>
      </c>
      <c r="D59" s="164" t="str">
        <f>VLOOKUP($A59,trifin1,9,FALSE)</f>
        <v>GARDAIS</v>
      </c>
      <c r="E59" s="165">
        <f>VLOOKUP($A59,trifin1,5,FALSE)</f>
        <v>80</v>
      </c>
      <c r="F59" s="165">
        <f>VLOOKUP($A59,trifin1,6,FALSE)</f>
        <v>38</v>
      </c>
      <c r="G59" s="406">
        <f>IF(F59=0,"",E59/F59)</f>
        <v>2.1052631578947367</v>
      </c>
      <c r="H59" s="406">
        <f>IF(E59=DISTANCE,G59,"-")</f>
        <v>2.1052631578947367</v>
      </c>
      <c r="I59" s="165">
        <f>VLOOKUP($A59,trifin1,7,FALSE)</f>
        <v>12</v>
      </c>
      <c r="J59" s="165">
        <f>VLOOKUP($A59,trifin1,8,FALSE)</f>
        <v>2</v>
      </c>
      <c r="K59" s="166"/>
      <c r="M59">
        <v>2</v>
      </c>
      <c r="O59" s="23"/>
      <c r="P59" s="23"/>
      <c r="Q59" s="281"/>
      <c r="R59" s="23"/>
      <c r="S59" s="280"/>
      <c r="T59" s="23"/>
      <c r="U59" s="23"/>
    </row>
    <row r="60" spans="1:21" ht="15">
      <c r="A60" s="23" t="str">
        <f>A56&amp;3</f>
        <v>33</v>
      </c>
      <c r="C60" s="163">
        <f>VLOOKUP($A60,trifin1,3,FALSE)</f>
        <v>8</v>
      </c>
      <c r="D60" s="164" t="str">
        <f>VLOOKUP($A60,trifin1,9,FALSE)</f>
        <v>LIS</v>
      </c>
      <c r="E60" s="165">
        <f>VLOOKUP($A60,trifin1,5,FALSE)</f>
        <v>69</v>
      </c>
      <c r="F60" s="165">
        <f>VLOOKUP($A60,trifin1,6,FALSE)</f>
        <v>45</v>
      </c>
      <c r="G60" s="406">
        <f>IF(F60=0,"",E60/F60)</f>
        <v>1.5333333333333334</v>
      </c>
      <c r="H60" s="406" t="str">
        <f>IF(E60=DISTANCE,G60,"-")</f>
        <v>-</v>
      </c>
      <c r="I60" s="165">
        <f>VLOOKUP($A60,trifin1,7,FALSE)</f>
        <v>11</v>
      </c>
      <c r="J60" s="165">
        <f>VLOOKUP($A60,trifin1,8,FALSE)</f>
        <v>0</v>
      </c>
      <c r="K60" s="408">
        <f>IF(I60=0,"-",SUM(E58:E60)/SUM(F58:F60))</f>
        <v>1.6641221374045803</v>
      </c>
      <c r="M60">
        <v>3</v>
      </c>
      <c r="O60" s="23"/>
      <c r="P60" s="23"/>
      <c r="Q60" s="281"/>
      <c r="R60" s="23"/>
      <c r="S60" s="280"/>
      <c r="T60" s="23"/>
      <c r="U60" s="281"/>
    </row>
    <row r="61" spans="1:21" ht="15">
      <c r="A61" s="23" t="str">
        <f>A56&amp;4</f>
        <v>34</v>
      </c>
      <c r="C61" s="163">
        <f>VLOOKUP($A61,trifin1,3,FALSE)</f>
        <v>11</v>
      </c>
      <c r="D61" s="164" t="str">
        <f>VLOOKUP($A61,trifin1,9,FALSE)</f>
        <v>GERARD</v>
      </c>
      <c r="E61" s="165">
        <f>VLOOKUP($A61,trifin1,5,FALSE)</f>
        <v>55</v>
      </c>
      <c r="F61" s="165">
        <f>VLOOKUP($A61,trifin1,6,FALSE)</f>
        <v>35</v>
      </c>
      <c r="G61" s="406">
        <f>IF(F61=0,"",E61/F61)</f>
        <v>1.5714285714285714</v>
      </c>
      <c r="H61" s="406" t="str">
        <f>IF(E61=DISTANCE,G61,"-")</f>
        <v>-</v>
      </c>
      <c r="I61" s="165">
        <f>VLOOKUP($A61,trifin1,7,FALSE)</f>
        <v>6</v>
      </c>
      <c r="J61" s="165">
        <f>VLOOKUP($A61,trifin1,8,FALSE)</f>
        <v>0</v>
      </c>
      <c r="K61" s="408">
        <f>IF(I61=0,"-",SUM(E59:E61)/SUM(F59:F61))</f>
        <v>1.728813559322034</v>
      </c>
      <c r="M61">
        <v>4</v>
      </c>
      <c r="O61" s="23"/>
      <c r="P61" s="23"/>
      <c r="Q61" s="281"/>
      <c r="R61" s="23"/>
      <c r="S61" s="280"/>
      <c r="T61" s="23"/>
      <c r="U61" s="281"/>
    </row>
    <row r="62" spans="1:21" ht="15.75" thickBot="1">
      <c r="A62" s="23" t="str">
        <f>A56&amp;5</f>
        <v>35</v>
      </c>
      <c r="C62" s="167">
        <f>VLOOKUP($A62,trifin1,3,FALSE)</f>
        <v>14</v>
      </c>
      <c r="D62" s="168" t="str">
        <f>VLOOKUP($A62,trifin1,9,FALSE)</f>
        <v>REMY</v>
      </c>
      <c r="E62" s="169">
        <f>VLOOKUP($A62,trifin1,5,FALSE)</f>
        <v>39</v>
      </c>
      <c r="F62" s="169">
        <f>VLOOKUP($A62,trifin1,6,FALSE)</f>
        <v>31</v>
      </c>
      <c r="G62" s="412">
        <f>IF(F62=0,"",E62/F62)</f>
        <v>1.2580645161290323</v>
      </c>
      <c r="H62" s="412" t="str">
        <f>IF(E62=DISTANCE,G62,"-")</f>
        <v>-</v>
      </c>
      <c r="I62" s="169">
        <f>VLOOKUP($A62,trifin1,7,FALSE)</f>
        <v>8</v>
      </c>
      <c r="J62" s="169">
        <f>VLOOKUP($A62,trifin1,8,FALSE)</f>
        <v>0</v>
      </c>
      <c r="K62" s="409">
        <f>IF(I62=0,"-",SUM(E60:E62)/SUM(F60:F62))</f>
        <v>1.4684684684684686</v>
      </c>
      <c r="M62">
        <v>5</v>
      </c>
      <c r="O62" s="23"/>
      <c r="P62" s="23"/>
      <c r="Q62" s="281"/>
      <c r="R62" s="23"/>
      <c r="S62" s="280"/>
      <c r="T62" s="23"/>
      <c r="U62" s="281"/>
    </row>
    <row r="63" spans="3:21" ht="15.75" thickBot="1">
      <c r="C63" s="170"/>
      <c r="D63" s="171" t="s">
        <v>83</v>
      </c>
      <c r="E63" s="172">
        <f>SUM(E58:E62)</f>
        <v>312</v>
      </c>
      <c r="F63" s="172">
        <f>SUM(F58:F62)</f>
        <v>197</v>
      </c>
      <c r="G63" s="407">
        <f>E63/F63</f>
        <v>1.583756345177665</v>
      </c>
      <c r="H63" s="407">
        <f>MAX(H58:H62)</f>
        <v>2.1052631578947367</v>
      </c>
      <c r="I63" s="173">
        <f>MAX(I58:I62)</f>
        <v>12</v>
      </c>
      <c r="J63" s="174">
        <f>SUM(J58:J62)</f>
        <v>2</v>
      </c>
      <c r="K63" s="410">
        <f>MAX(K58:K62)</f>
        <v>1.728813559322034</v>
      </c>
      <c r="O63" s="280"/>
      <c r="P63" s="280"/>
      <c r="Q63" s="281"/>
      <c r="R63" s="23"/>
      <c r="S63" s="282"/>
      <c r="T63" s="23"/>
      <c r="U63" s="281"/>
    </row>
    <row r="64" spans="3:6" ht="15.75">
      <c r="C64" s="516" t="s">
        <v>84</v>
      </c>
      <c r="D64" s="516"/>
      <c r="E64" s="516"/>
      <c r="F64" s="117" t="str">
        <f>VLOOKUP($C56,clasfin2,9,FALSE)</f>
        <v>5ème</v>
      </c>
    </row>
    <row r="65" ht="5.25" customHeight="1" thickBot="1"/>
    <row r="66" spans="1:12" ht="5.25" customHeight="1" thickTop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3:10" ht="15">
      <c r="C67" s="116" t="s">
        <v>14</v>
      </c>
      <c r="E67" s="116" t="s">
        <v>3</v>
      </c>
      <c r="G67" s="54" t="s">
        <v>4</v>
      </c>
      <c r="I67" s="54" t="s">
        <v>78</v>
      </c>
      <c r="J67" s="54"/>
    </row>
    <row r="68" spans="1:11" ht="21" thickBot="1">
      <c r="A68" s="117">
        <f>'FEUILLE POULE'!U42</f>
        <v>4</v>
      </c>
      <c r="C68" s="214" t="str">
        <f>VLOOKUP($A68,init1,2,FALSE)</f>
        <v>DUFFAUD</v>
      </c>
      <c r="D68" s="211"/>
      <c r="E68" s="211" t="str">
        <f>VLOOKUP($A68,init1,3,FALSE)</f>
        <v>Jean-Philippe</v>
      </c>
      <c r="F68" s="211"/>
      <c r="G68" s="212" t="str">
        <f>VLOOKUP($A68,init1,4,FALSE)</f>
        <v>Arize</v>
      </c>
      <c r="H68" s="211"/>
      <c r="I68" s="212" t="str">
        <f>VLOOKUP($A68,init1,5,FALSE)</f>
        <v>022847-W</v>
      </c>
      <c r="J68" s="212"/>
      <c r="K68" s="213"/>
    </row>
    <row r="69" spans="3:11" ht="15.75" thickBot="1">
      <c r="C69" s="154" t="s">
        <v>79</v>
      </c>
      <c r="D69" s="155" t="s">
        <v>80</v>
      </c>
      <c r="E69" s="156" t="s">
        <v>7</v>
      </c>
      <c r="F69" s="156" t="s">
        <v>11</v>
      </c>
      <c r="G69" s="156" t="s">
        <v>12</v>
      </c>
      <c r="H69" s="156" t="s">
        <v>13</v>
      </c>
      <c r="I69" s="156" t="s">
        <v>8</v>
      </c>
      <c r="J69" s="157" t="s">
        <v>81</v>
      </c>
      <c r="K69" s="158" t="s">
        <v>82</v>
      </c>
    </row>
    <row r="70" spans="1:13" ht="15">
      <c r="A70" s="23" t="str">
        <f>A68&amp;1</f>
        <v>41</v>
      </c>
      <c r="C70" s="159">
        <f>VLOOKUP($A70,trifin1,3,FALSE)</f>
        <v>1</v>
      </c>
      <c r="D70" s="160" t="str">
        <f>VLOOKUP($A70,trifin1,9,FALSE)</f>
        <v>CASIMIR</v>
      </c>
      <c r="E70" s="161">
        <f>VLOOKUP($A70,trifin1,5,FALSE)</f>
        <v>80</v>
      </c>
      <c r="F70" s="161">
        <f>VLOOKUP($A70,trifin1,6,FALSE)</f>
        <v>48</v>
      </c>
      <c r="G70" s="411">
        <f>IF(F70=0,"",E70/F70)</f>
        <v>1.6666666666666667</v>
      </c>
      <c r="H70" s="411">
        <f>IF(E70=DISTANCE,G70,"-")</f>
        <v>1.6666666666666667</v>
      </c>
      <c r="I70" s="161">
        <f>VLOOKUP($A70,trifin1,7,FALSE)</f>
        <v>8</v>
      </c>
      <c r="J70" s="161">
        <f>VLOOKUP($A70,trifin1,8,FALSE)</f>
        <v>2</v>
      </c>
      <c r="K70" s="162"/>
      <c r="M70">
        <v>1</v>
      </c>
    </row>
    <row r="71" spans="1:13" ht="15">
      <c r="A71" s="23" t="str">
        <f>A68&amp;2</f>
        <v>42</v>
      </c>
      <c r="C71" s="163">
        <f>VLOOKUP($A71,trifin1,3,FALSE)</f>
        <v>6</v>
      </c>
      <c r="D71" s="164" t="str">
        <f>VLOOKUP($A71,trifin1,9,FALSE)</f>
        <v>REMY</v>
      </c>
      <c r="E71" s="165">
        <f>VLOOKUP($A71,trifin1,5,FALSE)</f>
        <v>47</v>
      </c>
      <c r="F71" s="165">
        <f>VLOOKUP($A71,trifin1,6,FALSE)</f>
        <v>34</v>
      </c>
      <c r="G71" s="406">
        <f>IF(F71=0,"",E71/F71)</f>
        <v>1.3823529411764706</v>
      </c>
      <c r="H71" s="406" t="str">
        <f>IF(E71=DISTANCE,G71,"-")</f>
        <v>-</v>
      </c>
      <c r="I71" s="165">
        <f>VLOOKUP($A71,trifin1,7,FALSE)</f>
        <v>7</v>
      </c>
      <c r="J71" s="165">
        <f>VLOOKUP($A71,trifin1,8,FALSE)</f>
        <v>0</v>
      </c>
      <c r="K71" s="166"/>
      <c r="M71">
        <v>2</v>
      </c>
    </row>
    <row r="72" spans="1:13" ht="15">
      <c r="A72" s="23" t="str">
        <f>A68&amp;3</f>
        <v>43</v>
      </c>
      <c r="C72" s="163">
        <f>VLOOKUP($A72,trifin1,3,FALSE)</f>
        <v>9</v>
      </c>
      <c r="D72" s="164" t="str">
        <f>VLOOKUP($A72,trifin1,9,FALSE)</f>
        <v>GERARD</v>
      </c>
      <c r="E72" s="165">
        <f>VLOOKUP($A72,trifin1,5,FALSE)</f>
        <v>48</v>
      </c>
      <c r="F72" s="165">
        <f>VLOOKUP($A72,trifin1,6,FALSE)</f>
        <v>32</v>
      </c>
      <c r="G72" s="406">
        <f>IF(F72=0,"",E72/F72)</f>
        <v>1.5</v>
      </c>
      <c r="H72" s="406" t="str">
        <f>IF(E72=DISTANCE,G72,"-")</f>
        <v>-</v>
      </c>
      <c r="I72" s="165">
        <f>VLOOKUP($A72,trifin1,7,FALSE)</f>
        <v>5</v>
      </c>
      <c r="J72" s="165">
        <f>VLOOKUP($A72,trifin1,8,FALSE)</f>
        <v>0</v>
      </c>
      <c r="K72" s="408">
        <f>IF(I72=0,"-",SUM(E70:E72)/SUM(F70:F72))</f>
        <v>1.5350877192982457</v>
      </c>
      <c r="M72">
        <v>3</v>
      </c>
    </row>
    <row r="73" spans="1:13" ht="15">
      <c r="A73" s="23" t="str">
        <f>A68&amp;4</f>
        <v>44</v>
      </c>
      <c r="C73" s="163">
        <f>VLOOKUP($A73,trifin1,3,FALSE)</f>
        <v>12</v>
      </c>
      <c r="D73" s="164" t="str">
        <f>VLOOKUP($A73,trifin1,9,FALSE)</f>
        <v>GARDAIS</v>
      </c>
      <c r="E73" s="165">
        <f>VLOOKUP($A73,trifin1,5,FALSE)</f>
        <v>71</v>
      </c>
      <c r="F73" s="165">
        <f>VLOOKUP($A73,trifin1,6,FALSE)</f>
        <v>39</v>
      </c>
      <c r="G73" s="406">
        <f>IF(F73=0,"",E73/F73)</f>
        <v>1.8205128205128205</v>
      </c>
      <c r="H73" s="406" t="str">
        <f>IF(E73=DISTANCE,G73,"-")</f>
        <v>-</v>
      </c>
      <c r="I73" s="165">
        <f>VLOOKUP($A73,trifin1,7,FALSE)</f>
        <v>7</v>
      </c>
      <c r="J73" s="165">
        <f>VLOOKUP($A73,trifin1,8,FALSE)</f>
        <v>0</v>
      </c>
      <c r="K73" s="408">
        <f>IF(I73=0,"-",SUM(E71:E73)/SUM(F71:F73))</f>
        <v>1.5809523809523809</v>
      </c>
      <c r="M73">
        <v>4</v>
      </c>
    </row>
    <row r="74" spans="1:13" ht="15.75" thickBot="1">
      <c r="A74" s="23" t="str">
        <f>A68&amp;5</f>
        <v>45</v>
      </c>
      <c r="C74" s="167">
        <f>VLOOKUP($A74,trifin1,3,FALSE)</f>
        <v>13</v>
      </c>
      <c r="D74" s="168" t="str">
        <f>VLOOKUP($A74,trifin1,9,FALSE)</f>
        <v>LIS</v>
      </c>
      <c r="E74" s="169">
        <f>VLOOKUP($A74,trifin1,5,FALSE)</f>
        <v>53</v>
      </c>
      <c r="F74" s="169">
        <f>VLOOKUP($A74,trifin1,6,FALSE)</f>
        <v>38</v>
      </c>
      <c r="G74" s="412">
        <f>IF(F74=0,"",E74/F74)</f>
        <v>1.394736842105263</v>
      </c>
      <c r="H74" s="412" t="str">
        <f>IF(E74=DISTANCE,G74,"-")</f>
        <v>-</v>
      </c>
      <c r="I74" s="169">
        <f>VLOOKUP($A74,trifin1,7,FALSE)</f>
        <v>6</v>
      </c>
      <c r="J74" s="169">
        <f>VLOOKUP($A74,trifin1,8,FALSE)</f>
        <v>0</v>
      </c>
      <c r="K74" s="409">
        <f>IF(I74=0,"-",SUM(E72:E74)/SUM(F72:F74))</f>
        <v>1.5779816513761469</v>
      </c>
      <c r="M74">
        <v>5</v>
      </c>
    </row>
    <row r="75" spans="3:11" ht="15.75" thickBot="1">
      <c r="C75" s="170"/>
      <c r="D75" s="171" t="s">
        <v>83</v>
      </c>
      <c r="E75" s="172">
        <f>SUM(E70:E74)</f>
        <v>299</v>
      </c>
      <c r="F75" s="172">
        <f>SUM(F70:F74)</f>
        <v>191</v>
      </c>
      <c r="G75" s="407">
        <f>E75/F75</f>
        <v>1.5654450261780104</v>
      </c>
      <c r="H75" s="407">
        <f>MAX(H70:H74)</f>
        <v>1.6666666666666667</v>
      </c>
      <c r="I75" s="173">
        <f>MAX(I70:I74)</f>
        <v>8</v>
      </c>
      <c r="J75" s="174">
        <f>SUM(J70:J74)</f>
        <v>2</v>
      </c>
      <c r="K75" s="410">
        <f>MAX(K70:K74)</f>
        <v>1.5809523809523809</v>
      </c>
    </row>
    <row r="76" spans="3:6" ht="15.75">
      <c r="C76" s="516" t="s">
        <v>84</v>
      </c>
      <c r="D76" s="516"/>
      <c r="E76" s="516"/>
      <c r="F76" s="117" t="str">
        <f>VLOOKUP($C68,clasfin2,9,FALSE)</f>
        <v>6ème</v>
      </c>
    </row>
  </sheetData>
  <sheetProtection sheet="1" objects="1" scenarios="1"/>
  <mergeCells count="7">
    <mergeCell ref="B1:L1"/>
    <mergeCell ref="C16:E16"/>
    <mergeCell ref="C76:E76"/>
    <mergeCell ref="C28:E28"/>
    <mergeCell ref="C40:E40"/>
    <mergeCell ref="C52:E52"/>
    <mergeCell ref="C64:E64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BCMazades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</dc:creator>
  <cp:keywords>toto</cp:keywords>
  <dc:description/>
  <cp:lastModifiedBy>M Galabert</cp:lastModifiedBy>
  <cp:lastPrinted>2010-03-22T14:13:42Z</cp:lastPrinted>
  <dcterms:created xsi:type="dcterms:W3CDTF">2000-06-11T09:10:57Z</dcterms:created>
  <dcterms:modified xsi:type="dcterms:W3CDTF">2010-03-22T14:13:48Z</dcterms:modified>
  <cp:category/>
  <cp:version/>
  <cp:contentType/>
  <cp:contentStatus/>
</cp:coreProperties>
</file>